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13_ncr:1_{26D7B506-0422-4743-ABAC-93DFB7EE8A7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ASEBID" sheetId="11" r:id="rId1"/>
  </sheets>
  <definedNames>
    <definedName name="_xlnm._FilterDatabase" localSheetId="0" hidden="1">BASEBID!$E$27:$I$88</definedName>
    <definedName name="_xlnm.Print_Area" localSheetId="0">BASEBID!$A$1:$Q$84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J39" i="11" l="1"/>
  <c r="A37" i="11"/>
  <c r="A38" i="11"/>
  <c r="A40" i="11"/>
  <c r="A42" i="11"/>
  <c r="A44" i="11"/>
  <c r="A46" i="11"/>
  <c r="A49" i="11"/>
  <c r="A51" i="11"/>
  <c r="A52" i="11"/>
  <c r="A54" i="11"/>
  <c r="A56" i="11"/>
  <c r="A58" i="11"/>
  <c r="A60" i="11"/>
  <c r="A61" i="11"/>
  <c r="A66" i="11"/>
  <c r="A68" i="11"/>
  <c r="A70" i="11"/>
  <c r="A72" i="11"/>
  <c r="A74" i="11"/>
  <c r="A76" i="11"/>
  <c r="A78" i="11"/>
  <c r="H79" i="11"/>
  <c r="K79" i="11" s="1"/>
  <c r="H77" i="11"/>
  <c r="M77" i="11" s="1"/>
  <c r="H65" i="11"/>
  <c r="K65" i="11" s="1"/>
  <c r="H64" i="11"/>
  <c r="M64" i="11" s="1"/>
  <c r="H63" i="11"/>
  <c r="M63" i="11" s="1"/>
  <c r="H36" i="11"/>
  <c r="M36" i="11" s="1"/>
  <c r="H35" i="11"/>
  <c r="M35" i="11" s="1"/>
  <c r="H34" i="11"/>
  <c r="M34" i="11" s="1"/>
  <c r="H32" i="11"/>
  <c r="K32" i="11" s="1"/>
  <c r="H31" i="11"/>
  <c r="K31" i="11" s="1"/>
  <c r="H29" i="11"/>
  <c r="M29" i="11" s="1"/>
  <c r="N29" i="11"/>
  <c r="N30" i="11"/>
  <c r="M31" i="11"/>
  <c r="N31" i="11"/>
  <c r="N32" i="11"/>
  <c r="N33" i="11"/>
  <c r="K34" i="11"/>
  <c r="N34" i="11"/>
  <c r="N35" i="11"/>
  <c r="N36" i="11"/>
  <c r="N39" i="11"/>
  <c r="N41" i="11"/>
  <c r="N43" i="11"/>
  <c r="N45" i="11"/>
  <c r="N47" i="11"/>
  <c r="N48" i="11"/>
  <c r="N50" i="11"/>
  <c r="N53" i="11"/>
  <c r="N55" i="11"/>
  <c r="N57" i="11"/>
  <c r="N59" i="11"/>
  <c r="N62" i="11"/>
  <c r="K63" i="11"/>
  <c r="N63" i="11"/>
  <c r="K64" i="11"/>
  <c r="N64" i="11"/>
  <c r="N65" i="11"/>
  <c r="N67" i="11"/>
  <c r="N69" i="11"/>
  <c r="N71" i="11"/>
  <c r="N73" i="11"/>
  <c r="N75" i="11"/>
  <c r="K77" i="11"/>
  <c r="N77" i="11"/>
  <c r="N79" i="11"/>
  <c r="F75" i="11"/>
  <c r="H75" i="11" s="1"/>
  <c r="K75" i="11" s="1"/>
  <c r="F73" i="11"/>
  <c r="H73" i="11" s="1"/>
  <c r="M73" i="11" s="1"/>
  <c r="F71" i="11"/>
  <c r="H71" i="11" s="1"/>
  <c r="F69" i="11"/>
  <c r="H69" i="11" s="1"/>
  <c r="F67" i="11"/>
  <c r="H67" i="11" s="1"/>
  <c r="M67" i="11" s="1"/>
  <c r="F62" i="11"/>
  <c r="H62" i="11" s="1"/>
  <c r="K62" i="11" s="1"/>
  <c r="F59" i="11"/>
  <c r="H59" i="11" s="1"/>
  <c r="M59" i="11" s="1"/>
  <c r="F57" i="11"/>
  <c r="H57" i="11" s="1"/>
  <c r="K57" i="11" s="1"/>
  <c r="F55" i="11"/>
  <c r="H55" i="11" s="1"/>
  <c r="F53" i="11"/>
  <c r="H53" i="11" s="1"/>
  <c r="K53" i="11" s="1"/>
  <c r="F50" i="11"/>
  <c r="H50" i="11" s="1"/>
  <c r="K50" i="11" s="1"/>
  <c r="F48" i="11"/>
  <c r="H48" i="11" s="1"/>
  <c r="K48" i="11" s="1"/>
  <c r="F47" i="11"/>
  <c r="H47" i="11" s="1"/>
  <c r="F45" i="11"/>
  <c r="H45" i="11" s="1"/>
  <c r="M45" i="11" s="1"/>
  <c r="F43" i="11"/>
  <c r="H43" i="11" s="1"/>
  <c r="M43" i="11" s="1"/>
  <c r="F41" i="11"/>
  <c r="H41" i="11" s="1"/>
  <c r="F39" i="11"/>
  <c r="H39" i="11" s="1"/>
  <c r="F33" i="11"/>
  <c r="H33" i="11" s="1"/>
  <c r="M33" i="11" s="1"/>
  <c r="F30" i="11"/>
  <c r="H30" i="11" s="1"/>
  <c r="M30" i="11" s="1"/>
  <c r="F28" i="11"/>
  <c r="H28" i="11" s="1"/>
  <c r="K28" i="11" s="1"/>
  <c r="N28" i="11"/>
  <c r="G27" i="11"/>
  <c r="A27" i="11"/>
  <c r="H24" i="11"/>
  <c r="K24" i="11" s="1"/>
  <c r="M24" i="11" s="1"/>
  <c r="H23" i="11"/>
  <c r="H22" i="11"/>
  <c r="L22" i="11" s="1"/>
  <c r="H21" i="11"/>
  <c r="L21" i="11" s="1"/>
  <c r="H20" i="11"/>
  <c r="H19" i="11"/>
  <c r="L19" i="11" s="1"/>
  <c r="H18" i="11"/>
  <c r="H17" i="11"/>
  <c r="L17" i="11" s="1"/>
  <c r="H16" i="11"/>
  <c r="H15" i="11"/>
  <c r="L15" i="11" s="1"/>
  <c r="O14" i="11"/>
  <c r="M14" i="11"/>
  <c r="L14" i="11"/>
  <c r="A14" i="11"/>
  <c r="H13" i="11"/>
  <c r="H12" i="11"/>
  <c r="L12" i="11" s="1"/>
  <c r="O11" i="11"/>
  <c r="M11" i="11"/>
  <c r="L11" i="11"/>
  <c r="A11" i="11"/>
  <c r="K71" i="11" l="1"/>
  <c r="M71" i="11"/>
  <c r="O71" i="11" s="1"/>
  <c r="M69" i="11"/>
  <c r="O69" i="11" s="1"/>
  <c r="P69" i="11" s="1"/>
  <c r="K69" i="11"/>
  <c r="K41" i="11"/>
  <c r="M41" i="11"/>
  <c r="M39" i="11"/>
  <c r="O39" i="11" s="1"/>
  <c r="P39" i="11" s="1"/>
  <c r="K39" i="11"/>
  <c r="M47" i="11"/>
  <c r="K47" i="11"/>
  <c r="M55" i="11"/>
  <c r="O55" i="11" s="1"/>
  <c r="P55" i="11" s="1"/>
  <c r="K55" i="11"/>
  <c r="O29" i="11"/>
  <c r="O63" i="11"/>
  <c r="O36" i="11"/>
  <c r="K30" i="11"/>
  <c r="M79" i="11"/>
  <c r="M48" i="11"/>
  <c r="M57" i="11"/>
  <c r="O57" i="11" s="1"/>
  <c r="P57" i="11" s="1"/>
  <c r="K33" i="11"/>
  <c r="M75" i="11"/>
  <c r="M62" i="11"/>
  <c r="O62" i="11" s="1"/>
  <c r="P62" i="11" s="1"/>
  <c r="M53" i="11"/>
  <c r="O53" i="11" s="1"/>
  <c r="P53" i="11" s="1"/>
  <c r="K45" i="11"/>
  <c r="K36" i="11"/>
  <c r="K67" i="11"/>
  <c r="M32" i="11"/>
  <c r="O32" i="11" s="1"/>
  <c r="O64" i="11"/>
  <c r="P64" i="11" s="1"/>
  <c r="M28" i="11"/>
  <c r="K73" i="11"/>
  <c r="M50" i="11"/>
  <c r="O50" i="11" s="1"/>
  <c r="P50" i="11" s="1"/>
  <c r="P63" i="11"/>
  <c r="M65" i="11"/>
  <c r="O65" i="11" s="1"/>
  <c r="P65" i="11" s="1"/>
  <c r="K59" i="11"/>
  <c r="K43" i="11"/>
  <c r="K35" i="11"/>
  <c r="O47" i="11"/>
  <c r="P47" i="11" s="1"/>
  <c r="K29" i="11"/>
  <c r="P29" i="11" s="1"/>
  <c r="P32" i="11"/>
  <c r="P71" i="11"/>
  <c r="O67" i="11"/>
  <c r="O43" i="11"/>
  <c r="O48" i="11"/>
  <c r="P48" i="11" s="1"/>
  <c r="O79" i="11"/>
  <c r="P79" i="11" s="1"/>
  <c r="O75" i="11"/>
  <c r="P75" i="11" s="1"/>
  <c r="O59" i="11"/>
  <c r="O35" i="11"/>
  <c r="P35" i="11" s="1"/>
  <c r="O34" i="11"/>
  <c r="P34" i="11" s="1"/>
  <c r="O30" i="11"/>
  <c r="P30" i="11" s="1"/>
  <c r="O77" i="11"/>
  <c r="P77" i="11" s="1"/>
  <c r="O41" i="11"/>
  <c r="P41" i="11" s="1"/>
  <c r="O73" i="11"/>
  <c r="O45" i="11"/>
  <c r="O33" i="11"/>
  <c r="P33" i="11" s="1"/>
  <c r="O31" i="11"/>
  <c r="P31" i="11" s="1"/>
  <c r="O28" i="11"/>
  <c r="P28" i="11" s="1"/>
  <c r="K16" i="11"/>
  <c r="M16" i="11" s="1"/>
  <c r="L16" i="11"/>
  <c r="K20" i="11"/>
  <c r="M20" i="11" s="1"/>
  <c r="K13" i="11"/>
  <c r="M13" i="11" s="1"/>
  <c r="L13" i="11"/>
  <c r="K18" i="11"/>
  <c r="M18" i="11" s="1"/>
  <c r="K22" i="11"/>
  <c r="M22" i="11" s="1"/>
  <c r="O22" i="11" s="1"/>
  <c r="L24" i="11"/>
  <c r="O24" i="11" s="1"/>
  <c r="K12" i="11"/>
  <c r="M12" i="11" s="1"/>
  <c r="O12" i="11" s="1"/>
  <c r="K15" i="11"/>
  <c r="M15" i="11" s="1"/>
  <c r="O15" i="11" s="1"/>
  <c r="K17" i="11"/>
  <c r="M17" i="11" s="1"/>
  <c r="O17" i="11" s="1"/>
  <c r="K19" i="11"/>
  <c r="M19" i="11" s="1"/>
  <c r="O19" i="11" s="1"/>
  <c r="K21" i="11"/>
  <c r="M21" i="11" s="1"/>
  <c r="O21" i="11" s="1"/>
  <c r="K23" i="11"/>
  <c r="M23" i="11" s="1"/>
  <c r="O23" i="11" s="1"/>
  <c r="A12" i="11"/>
  <c r="P43" i="11" l="1"/>
  <c r="P36" i="11"/>
  <c r="P67" i="11"/>
  <c r="P73" i="11"/>
  <c r="P45" i="11"/>
  <c r="P59" i="11"/>
  <c r="O16" i="11"/>
  <c r="M85" i="11"/>
  <c r="M87" i="11" s="1"/>
  <c r="M88" i="11" s="1"/>
  <c r="O13" i="11"/>
  <c r="O18" i="11"/>
  <c r="O20" i="11"/>
  <c r="A13" i="11"/>
  <c r="A15" i="11" l="1"/>
  <c r="Q26" i="11"/>
  <c r="P80" i="11"/>
  <c r="P82" i="11" s="1"/>
  <c r="Q9" i="11"/>
  <c r="A16" i="11"/>
  <c r="A17" i="11" s="1"/>
  <c r="P84" i="11" l="1"/>
  <c r="Q80" i="11"/>
  <c r="Q83" i="11" s="1"/>
  <c r="P81" i="11"/>
  <c r="P83" i="11"/>
  <c r="A18" i="11"/>
  <c r="Q81" i="11" l="1"/>
  <c r="Q82" i="11"/>
  <c r="A19" i="11"/>
  <c r="A20" i="11" l="1"/>
  <c r="A21" i="11" s="1"/>
  <c r="A22" i="11" s="1"/>
  <c r="A23" i="11" s="1"/>
  <c r="A24" i="11" s="1"/>
  <c r="A28" i="11" s="1"/>
  <c r="Q84" i="11"/>
  <c r="A29" i="11" l="1"/>
  <c r="A30" i="11" l="1"/>
  <c r="A31" i="11" l="1"/>
  <c r="A32" i="11" l="1"/>
  <c r="A33" i="11" l="1"/>
  <c r="A34" i="11" s="1"/>
  <c r="A36" i="11" l="1"/>
  <c r="A39" i="11" s="1"/>
  <c r="A35" i="11"/>
  <c r="A41" i="11"/>
  <c r="A45" i="11" l="1"/>
  <c r="A47" i="11" s="1"/>
  <c r="A48" i="11" s="1"/>
  <c r="A50" i="11" s="1"/>
  <c r="A53" i="11" s="1"/>
  <c r="A55" i="11" s="1"/>
  <c r="A57" i="11" s="1"/>
  <c r="A59" i="11" s="1"/>
  <c r="A62" i="11" s="1"/>
  <c r="A63" i="11" s="1"/>
  <c r="A64" i="11" s="1"/>
  <c r="A65" i="11" s="1"/>
  <c r="A67" i="11" s="1"/>
  <c r="A69" i="11" s="1"/>
  <c r="A71" i="11" s="1"/>
  <c r="A73" i="11" s="1"/>
  <c r="A75" i="11" s="1"/>
  <c r="A77" i="11" s="1"/>
  <c r="A79" i="11" s="1"/>
  <c r="A43" i="11"/>
</calcChain>
</file>

<file path=xl/sharedStrings.xml><?xml version="1.0" encoding="utf-8"?>
<sst xmlns="http://schemas.openxmlformats.org/spreadsheetml/2006/main" count="127" uniqueCount="86">
  <si>
    <t>DESCRIPTION</t>
  </si>
  <si>
    <t>SUB TOTAL</t>
  </si>
  <si>
    <t>INSURANCE</t>
  </si>
  <si>
    <t>OVERHEAD &amp; PROFIT</t>
  </si>
  <si>
    <t>Estimate of Materials and Cost of Construction</t>
  </si>
  <si>
    <t>Project: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</si>
  <si>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</si>
  <si>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</si>
  <si>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</si>
  <si>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</si>
  <si>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</si>
  <si>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</si>
  <si>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</si>
  <si>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</si>
  <si>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</si>
  <si>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</si>
  <si>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</si>
  <si>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</si>
  <si>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</si>
  <si>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</si>
  <si>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</si>
  <si>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</si>
  <si>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</si>
  <si>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</si>
  <si>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</si>
  <si>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</si>
  <si>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</si>
  <si>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</si>
  <si>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</si>
  <si>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</si>
  <si>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</si>
  <si>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</si>
  <si>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</si>
  <si>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</si>
  <si>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</si>
  <si>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</si>
  <si>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</si>
  <si>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</si>
  <si>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</si>
  <si>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</si>
  <si>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DIV-03</t>
  </si>
  <si>
    <t>CONCRETE</t>
  </si>
  <si>
    <t>CONTIGENCY</t>
  </si>
  <si>
    <t>TOTAL BASE BID</t>
  </si>
  <si>
    <t>Total Man-hours</t>
  </si>
  <si>
    <t>Crew Size</t>
  </si>
  <si>
    <t>Working Days</t>
  </si>
  <si>
    <t>Months</t>
  </si>
  <si>
    <t>Proposed Concrete Work</t>
  </si>
  <si>
    <t xml:space="preserve">8" Concrete Slab </t>
  </si>
  <si>
    <t xml:space="preserve">6" x 6" W 1.4 x 1.4 Top </t>
  </si>
  <si>
    <t>#4 Bars @ 12" O.C Bottom</t>
  </si>
  <si>
    <t xml:space="preserve">0/6 Mill Vapor Barrier </t>
  </si>
  <si>
    <t xml:space="preserve">95% Compacted Fill </t>
  </si>
  <si>
    <t xml:space="preserve">4" Concrete Slab </t>
  </si>
  <si>
    <t xml:space="preserve">6" x 6" W 1.4 x 1.4 WWF </t>
  </si>
  <si>
    <t xml:space="preserve">0/6 Vapor Barrier </t>
  </si>
  <si>
    <t>95% Compacted Fill</t>
  </si>
  <si>
    <t>Footing</t>
  </si>
  <si>
    <t>(14") Thick Concrete Foundation Wall (Height:2'-6") , #4 Vertical Bars @ 12" O.C , #4 Horizontal Bars @ 16" O.C 
-(Note: This Wall Is Assumed As A Stem Wall And Hight Is (2'-6") Assumed)</t>
  </si>
  <si>
    <t>Formwork For Concrete Foundation Wall</t>
  </si>
  <si>
    <t xml:space="preserve">(40" W x 12" D) Concrete Footing , W/ (4) #5 Continuous Bars , #5 Distribution Bars @ 12" O.C </t>
  </si>
  <si>
    <t>Formwork For Concrete Footing</t>
  </si>
  <si>
    <t>(3'-0" x 2'-6" x 2'-0") Concrete Footing For Steel Post With Reinforced</t>
  </si>
  <si>
    <t xml:space="preserve">12" Thick Spread Footing W/Reinforcement </t>
  </si>
  <si>
    <t>Elevator Pit</t>
  </si>
  <si>
    <t>12" Cas In Place Concrete Footing , #5 Rebars @ 12" O.C E.W</t>
  </si>
  <si>
    <t>Formwork For Elevator Footing</t>
  </si>
  <si>
    <t>(12") Concrete Wall For Elevator Pit (Height:4'-0") , #5 Bars @ 12" O.C E.W (Note: Elevator Concrete Wall Are To Be Assumed )</t>
  </si>
  <si>
    <t>Formwork For Elevator Wall</t>
  </si>
  <si>
    <t>Basement Slab</t>
  </si>
  <si>
    <t xml:space="preserve">5" Thick Concrete Slab </t>
  </si>
  <si>
    <t xml:space="preserve">6" x 6" -W 1.4 x W 1.4 WWF </t>
  </si>
  <si>
    <t>95% Compacted Fill Or Undisturbed Soil Concrete Floor To Be Polished As Finished Floor</t>
  </si>
  <si>
    <t>Formwork For Concrete Slab</t>
  </si>
  <si>
    <t>4" Concrete Landing , #4 Bars @ 12" O.C E.W (Note :Bars And Thickness Of Slab Are Assumed )</t>
  </si>
  <si>
    <t>Formwork For Concrete Landing</t>
  </si>
  <si>
    <t>8" Thick Concrete Step Poured Concrete Blue Stone W/Reinforced , Repair To Existing Porch</t>
  </si>
  <si>
    <t xml:space="preserve">#5 Rebars (Length:24") @ 24" O.C Drilled 4" Min &amp;Set W/Hilti Hit Hy 70 Adhesive For Hallow Masonry </t>
  </si>
  <si>
    <t>Engineer To Inspect -Existing -W10 x 22 Beam Main Beams In This Location Potential Reinforcement With 8" Wide x 5/8" Steel Plates As Per Engineering Drawings</t>
  </si>
  <si>
    <t>Mobilization For Steel/Reinforcement (Loading, Unloading and Transportation Cost)</t>
  </si>
  <si>
    <t>CY</t>
  </si>
  <si>
    <t>SF</t>
  </si>
  <si>
    <t>LBS</t>
  </si>
  <si>
    <t>LF</t>
  </si>
  <si>
    <t>Concrete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</si>
</sst>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.00"/>
    <numFmt numFmtId="170" formatCode="0.000_);[Red]\(0.000\)"/>
  </numFmts>
  <fonts count="28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4">
    <xf numFmtId="0" fontId="0" fillId="0" borderId="0"/>
    <xf numFmtId="43" fontId="25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9" borderId="19" applyNumberFormat="0" applyFont="0" applyAlignment="0" applyProtection="0"/>
    <xf numFmtId="0" fontId="21" fillId="10" borderId="22" applyNumberFormat="0" applyAlignment="0" applyProtection="0"/>
    <xf numFmtId="0" fontId="22" fillId="11" borderId="23" applyNumberFormat="0" applyAlignment="0" applyProtection="0"/>
    <xf numFmtId="0" fontId="23" fillId="0" borderId="16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0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2" borderId="24" applyNumberFormat="0" applyFont="0" applyAlignment="0" applyProtection="0"/>
    <xf numFmtId="0" fontId="18" fillId="12" borderId="24" applyNumberFormat="0" applyFont="0" applyAlignment="0" applyProtection="0"/>
    <xf numFmtId="0" fontId="18" fillId="12" borderId="24" applyNumberFormat="0" applyFont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5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0" fontId="8" fillId="2" borderId="2" xfId="5" applyFont="1" applyFill="1" applyBorder="1" applyAlignment="1" applyProtection="1">
      <alignment horizontal="center" vertical="center" wrapText="1"/>
    </xf>
    <xf numFmtId="0" fontId="8" fillId="2" borderId="3" xfId="5" applyFont="1" applyFill="1" applyBorder="1" applyAlignment="1" applyProtection="1">
      <alignment horizontal="center" vertical="center" wrapText="1"/>
    </xf>
    <xf numFmtId="2" fontId="8" fillId="2" borderId="3" xfId="5" applyNumberFormat="1" applyFont="1" applyFill="1" applyBorder="1" applyAlignment="1" applyProtection="1">
      <alignment horizontal="center" vertical="center" wrapText="1"/>
    </xf>
    <xf numFmtId="9" fontId="8" fillId="2" borderId="3" xfId="3" applyFont="1" applyFill="1" applyBorder="1" applyAlignment="1" applyProtection="1">
      <alignment horizontal="center" vertical="center" wrapText="1"/>
    </xf>
    <xf numFmtId="0" fontId="9" fillId="3" borderId="4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top"/>
    </xf>
    <xf numFmtId="0" fontId="9" fillId="3" borderId="5" xfId="6" applyFont="1" applyFill="1" applyBorder="1" applyAlignment="1">
      <alignment vertical="top"/>
    </xf>
    <xf numFmtId="9" fontId="9" fillId="3" borderId="5" xfId="3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1" fontId="4" fillId="4" borderId="4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top"/>
    </xf>
    <xf numFmtId="0" fontId="4" fillId="4" borderId="5" xfId="4" applyFont="1" applyFill="1" applyBorder="1" applyAlignment="1">
      <alignment horizontal="justify" vertical="top" wrapText="1"/>
    </xf>
    <xf numFmtId="1" fontId="8" fillId="0" borderId="5" xfId="0" applyNumberFormat="1" applyFont="1" applyBorder="1" applyAlignment="1">
      <alignment horizontal="center"/>
    </xf>
    <xf numFmtId="9" fontId="4" fillId="4" borderId="5" xfId="3" applyFont="1" applyFill="1" applyBorder="1" applyAlignment="1">
      <alignment horizontal="right" vertical="center"/>
    </xf>
    <xf numFmtId="41" fontId="4" fillId="4" borderId="5" xfId="4" applyNumberFormat="1" applyFont="1" applyFill="1" applyBorder="1" applyAlignment="1">
      <alignment horizontal="right" vertical="center"/>
    </xf>
    <xf numFmtId="0" fontId="8" fillId="5" borderId="5" xfId="4" applyFont="1" applyFill="1" applyBorder="1" applyAlignment="1">
      <alignment horizontal="justify" vertical="top" wrapText="1"/>
    </xf>
    <xf numFmtId="0" fontId="10" fillId="0" borderId="5" xfId="32" applyNumberFormat="1" applyFont="1" applyFill="1" applyBorder="1" applyAlignment="1">
      <alignment horizontal="left" vertical="center" wrapText="1"/>
    </xf>
    <xf numFmtId="0" fontId="11" fillId="0" borderId="5" xfId="0" applyFont="1" applyBorder="1"/>
    <xf numFmtId="9" fontId="9" fillId="3" borderId="5" xfId="3" applyFont="1" applyFill="1" applyBorder="1" applyAlignment="1">
      <alignment horizontal="right" vertical="center"/>
    </xf>
    <xf numFmtId="0" fontId="9" fillId="3" borderId="5" xfId="6" applyFont="1" applyFill="1" applyBorder="1" applyAlignment="1">
      <alignment horizontal="right" vertical="center"/>
    </xf>
    <xf numFmtId="44" fontId="4" fillId="0" borderId="0" xfId="2" applyFont="1" applyBorder="1" applyAlignment="1">
      <alignment vertical="center" wrapText="1"/>
    </xf>
    <xf numFmtId="44" fontId="7" fillId="0" borderId="0" xfId="2" applyFont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44" fontId="8" fillId="2" borderId="3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44" fontId="9" fillId="3" borderId="5" xfId="2" applyFont="1" applyFill="1" applyBorder="1" applyAlignment="1">
      <alignment vertical="center"/>
    </xf>
    <xf numFmtId="0" fontId="9" fillId="3" borderId="7" xfId="6" applyFont="1" applyFill="1" applyBorder="1" applyAlignment="1">
      <alignment vertical="center"/>
    </xf>
    <xf numFmtId="0" fontId="4" fillId="4" borderId="5" xfId="4" applyFont="1" applyFill="1" applyBorder="1" applyAlignment="1">
      <alignment horizontal="center" vertical="center"/>
    </xf>
    <xf numFmtId="44" fontId="4" fillId="4" borderId="5" xfId="2" applyFont="1" applyFill="1" applyBorder="1" applyAlignment="1" applyProtection="1">
      <alignment horizontal="left" vertical="center"/>
    </xf>
    <xf numFmtId="166" fontId="4" fillId="4" borderId="5" xfId="4" applyNumberFormat="1" applyFont="1" applyFill="1" applyBorder="1" applyAlignment="1" applyProtection="1">
      <alignment horizontal="left" vertical="center"/>
    </xf>
    <xf numFmtId="166" fontId="4" fillId="4" borderId="7" xfId="4" applyNumberFormat="1" applyFont="1" applyFill="1" applyBorder="1" applyAlignment="1" applyProtection="1">
      <alignment horizontal="left" vertical="center"/>
    </xf>
    <xf numFmtId="44" fontId="12" fillId="6" borderId="5" xfId="2" applyFont="1" applyFill="1" applyBorder="1" applyAlignment="1">
      <alignment vertical="center"/>
    </xf>
    <xf numFmtId="166" fontId="9" fillId="3" borderId="5" xfId="6" applyNumberFormat="1" applyFont="1" applyFill="1" applyBorder="1" applyAlignment="1">
      <alignment vertical="center"/>
    </xf>
    <xf numFmtId="166" fontId="9" fillId="3" borderId="7" xfId="6" applyNumberFormat="1" applyFont="1" applyFill="1" applyBorder="1" applyAlignment="1">
      <alignment vertical="center"/>
    </xf>
    <xf numFmtId="2" fontId="4" fillId="4" borderId="5" xfId="4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2" borderId="10" xfId="5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42" fontId="9" fillId="3" borderId="11" xfId="6" applyNumberFormat="1" applyFont="1" applyFill="1" applyBorder="1" applyAlignment="1">
      <alignment vertical="center"/>
    </xf>
    <xf numFmtId="41" fontId="3" fillId="0" borderId="0" xfId="15" applyNumberFormat="1" applyFont="1" applyAlignment="1">
      <alignment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Alignment="1">
      <alignment horizontal="center" vertical="center"/>
    </xf>
    <xf numFmtId="0" fontId="14" fillId="7" borderId="16" xfId="7" applyFont="1" applyFill="1" applyAlignment="1">
      <alignment horizontal="left" vertical="top"/>
    </xf>
    <xf numFmtId="0" fontId="14" fillId="7" borderId="16" xfId="7" applyFont="1" applyFill="1" applyAlignment="1">
      <alignment vertical="top"/>
    </xf>
    <xf numFmtId="164" fontId="14" fillId="7" borderId="16" xfId="7" applyNumberFormat="1" applyFont="1" applyFill="1" applyAlignment="1" applyProtection="1">
      <alignment horizontal="center" vertical="center"/>
    </xf>
    <xf numFmtId="9" fontId="14" fillId="7" borderId="16" xfId="3" applyFont="1" applyFill="1" applyBorder="1" applyAlignment="1" applyProtection="1">
      <alignment horizontal="center" vertical="center"/>
    </xf>
    <xf numFmtId="0" fontId="14" fillId="7" borderId="16" xfId="7" applyFont="1" applyFill="1" applyAlignment="1">
      <alignment horizontal="left" vertical="center"/>
    </xf>
    <xf numFmtId="44" fontId="14" fillId="7" borderId="17" xfId="2" applyFont="1" applyFill="1" applyBorder="1" applyAlignment="1">
      <alignment vertical="center"/>
    </xf>
    <xf numFmtId="42" fontId="14" fillId="7" borderId="17" xfId="7" applyNumberFormat="1" applyFont="1" applyFill="1" applyBorder="1" applyAlignment="1">
      <alignment vertical="center"/>
    </xf>
    <xf numFmtId="9" fontId="14" fillId="7" borderId="16" xfId="3" applyFont="1" applyFill="1" applyBorder="1" applyAlignment="1">
      <alignment horizontal="center" vertical="center"/>
    </xf>
    <xf numFmtId="167" fontId="14" fillId="7" borderId="16" xfId="7" applyNumberFormat="1" applyFont="1" applyFill="1" applyAlignment="1">
      <alignment horizontal="left" vertical="center"/>
    </xf>
    <xf numFmtId="0" fontId="14" fillId="7" borderId="16" xfId="7" applyNumberFormat="1" applyFont="1" applyFill="1" applyAlignment="1">
      <alignment horizontal="left" vertical="center"/>
    </xf>
    <xf numFmtId="44" fontId="14" fillId="7" borderId="16" xfId="2" applyFont="1" applyFill="1" applyBorder="1" applyAlignment="1">
      <alignment horizontal="left" vertical="center"/>
    </xf>
    <xf numFmtId="168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8" fontId="15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top"/>
    </xf>
    <xf numFmtId="167" fontId="14" fillId="7" borderId="18" xfId="7" applyNumberFormat="1" applyFont="1" applyFill="1" applyBorder="1" applyAlignment="1">
      <alignment vertical="center"/>
    </xf>
    <xf numFmtId="0" fontId="26" fillId="0" borderId="21" xfId="0" applyFont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7" fillId="0" borderId="21" xfId="0" applyFont="1" applyBorder="1" applyAlignment="1">
      <alignment horizontal="left" vertical="center"/>
    </xf>
    <xf numFmtId="0" fontId="11" fillId="0" borderId="21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6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9" fontId="8" fillId="0" borderId="5" xfId="0" applyNumberFormat="1" applyFont="1" applyBorder="1" applyAlignment="1">
      <alignment horizontal="center" vertical="center"/>
    </xf>
    <xf numFmtId="170" fontId="8" fillId="0" borderId="5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</cellXfs>
  <cellStyles count="34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2" xfId="13" xr:uid="{00000000-0005-0000-0000-000036000000}"/>
    <cellStyle name="Normal 2 2" xfId="14" xr:uid="{00000000-0005-0000-0000-000037000000}"/>
    <cellStyle name="Normal 2 3" xfId="15" xr:uid="{00000000-0005-0000-0000-000038000000}"/>
    <cellStyle name="Normal 2 3 2" xfId="16" xr:uid="{00000000-0005-0000-0000-000039000000}"/>
    <cellStyle name="Normal 3" xfId="17" xr:uid="{00000000-0005-0000-0000-00003A000000}"/>
    <cellStyle name="Normal 3 2" xfId="18" xr:uid="{00000000-0005-0000-0000-00003B000000}"/>
    <cellStyle name="Normal 4" xfId="19" xr:uid="{00000000-0005-0000-0000-00003C000000}"/>
    <cellStyle name="Normal 4 2" xfId="20" xr:uid="{00000000-0005-0000-0000-00003D000000}"/>
    <cellStyle name="Normal 4 2 2" xfId="21" xr:uid="{00000000-0005-0000-0000-00003E000000}"/>
    <cellStyle name="Normal 4 3" xfId="22" xr:uid="{00000000-0005-0000-0000-00003F000000}"/>
    <cellStyle name="Normal 4 3 2" xfId="23" xr:uid="{00000000-0005-0000-0000-000040000000}"/>
    <cellStyle name="Normal 4 4" xfId="24" xr:uid="{00000000-0005-0000-0000-000041000000}"/>
    <cellStyle name="Normal 5" xfId="25" xr:uid="{00000000-0005-0000-0000-000042000000}"/>
    <cellStyle name="Normal 6" xfId="26" xr:uid="{00000000-0005-0000-0000-000043000000}"/>
    <cellStyle name="Normal 7" xfId="27" xr:uid="{00000000-0005-0000-0000-000044000000}"/>
    <cellStyle name="Normal 7 2" xfId="28" xr:uid="{00000000-0005-0000-0000-000045000000}"/>
    <cellStyle name="Normal 8" xfId="29" xr:uid="{00000000-0005-0000-0000-000046000000}"/>
    <cellStyle name="Normal 9" xfId="30" xr:uid="{00000000-0005-0000-0000-000047000000}"/>
    <cellStyle name="Note" xfId="4" builtinId="10"/>
    <cellStyle name="Note 2" xfId="31" xr:uid="{00000000-0005-0000-0000-000048000000}"/>
    <cellStyle name="Note 2 2 2 2" xfId="32" xr:uid="{00000000-0005-0000-0000-000049000000}"/>
    <cellStyle name="Note 3 2" xfId="33" xr:uid="{00000000-0005-0000-0000-00004A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1160317</xdr:colOff>
      <xdr:row>1</xdr:row>
      <xdr:rowOff>52883</xdr:rowOff>
    </xdr:from>
    <xdr:to>
      <xdr:col>16</xdr:col>
      <xdr:colOff>1264228</xdr:colOff>
      <xdr:row>6</xdr:row>
      <xdr:rowOff>213076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4AC072-E980-D98F-1BE0-9C9C3D2D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707590" y="347292"/>
          <a:ext cx="6459683" cy="161492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88"/>
  <sheetViews>
    <sheetView tabSelected="1" zoomScale="55" zoomScaleNormal="55" zoomScaleSheetLayoutView="40" workbookViewId="0">
      <pane ySplit="8" topLeftCell="A9" activePane="bottomLeft" state="frozen"/>
      <selection pane="bottomLeft" activeCell="K40" sqref="K40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7.5546875" style="6" customWidth="1"/>
    <col min="6" max="6" width="8.33203125" style="7" customWidth="1"/>
    <col min="7" max="7" width="15.5546875" style="8" customWidth="1"/>
    <col min="8" max="8" width="9.109375" style="7" customWidth="1"/>
    <col min="9" max="9" width="6.77734375" style="4" customWidth="1"/>
    <col min="10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103" t="s">
        <v>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25">
      <c r="A2" s="13"/>
      <c r="G2" s="14"/>
      <c r="J2" s="43"/>
      <c r="K2" s="43"/>
      <c r="L2" s="43"/>
      <c r="M2" s="43"/>
      <c r="N2" s="43"/>
      <c r="Q2" s="59"/>
    </row>
    <row r="3" spans="1:25" ht="20.25">
      <c r="B3" s="15"/>
      <c r="C3" s="15"/>
      <c r="D3" s="16"/>
      <c r="E3" s="17"/>
      <c r="G3" s="14"/>
      <c r="J3" s="43"/>
      <c r="K3" s="43"/>
      <c r="L3" s="44"/>
      <c r="M3" s="44"/>
      <c r="N3" s="44"/>
      <c r="O3" s="15"/>
      <c r="P3" s="15"/>
      <c r="Q3" s="59"/>
    </row>
    <row r="4" spans="1:25" ht="20.25">
      <c r="B4" s="15"/>
      <c r="C4" s="15"/>
      <c r="D4" s="16" t="s">
        <v>5</v>
      </c>
      <c r="E4" s="18" t="s">
        <v>85</v>
      </c>
      <c r="G4" s="14"/>
      <c r="J4" s="43"/>
      <c r="K4" s="43"/>
      <c r="L4" s="45"/>
      <c r="M4" s="45"/>
      <c r="N4" s="45"/>
      <c r="O4" s="46"/>
      <c r="P4" s="46"/>
      <c r="Q4" s="59"/>
    </row>
    <row r="5" spans="1:25" ht="37.5" customHeight="1">
      <c r="B5" s="15"/>
      <c r="C5" s="15"/>
      <c r="D5" s="19"/>
      <c r="E5" s="20"/>
      <c r="G5" s="14"/>
      <c r="J5" s="43"/>
      <c r="K5" s="43"/>
      <c r="L5" s="45"/>
      <c r="M5" s="45"/>
      <c r="N5" s="45"/>
      <c r="O5" s="46"/>
      <c r="P5" s="46"/>
      <c r="Q5" s="59"/>
    </row>
    <row r="6" spans="1:25" ht="19.7" customHeight="1">
      <c r="A6" s="13"/>
      <c r="G6" s="14"/>
      <c r="J6" s="43"/>
      <c r="K6" s="43"/>
      <c r="L6" s="45"/>
      <c r="M6" s="45"/>
      <c r="N6" s="45"/>
      <c r="O6" s="46"/>
      <c r="P6" s="46"/>
      <c r="Q6" s="59"/>
    </row>
    <row r="7" spans="1:25" ht="20.25">
      <c r="A7" s="13"/>
      <c r="G7" s="14"/>
      <c r="J7" s="43"/>
      <c r="K7" s="43"/>
      <c r="L7" s="45"/>
      <c r="M7" s="45"/>
      <c r="N7" s="45"/>
      <c r="O7" s="46"/>
      <c r="P7" s="46"/>
      <c r="Q7" s="60"/>
    </row>
    <row r="8" spans="1:25" s="2" customFormat="1" ht="30.6" customHeight="1">
      <c r="A8" s="21" t="s">
        <v>6</v>
      </c>
      <c r="B8" s="22" t="s">
        <v>7</v>
      </c>
      <c r="C8" s="22" t="s">
        <v>8</v>
      </c>
      <c r="D8" s="22" t="s">
        <v>9</v>
      </c>
      <c r="E8" s="23" t="s">
        <v>0</v>
      </c>
      <c r="F8" s="23" t="s">
        <v>10</v>
      </c>
      <c r="G8" s="24" t="s">
        <v>11</v>
      </c>
      <c r="H8" s="23" t="s">
        <v>12</v>
      </c>
      <c r="I8" s="22" t="s">
        <v>13</v>
      </c>
      <c r="J8" s="47" t="s">
        <v>14</v>
      </c>
      <c r="K8" s="47" t="s">
        <v>15</v>
      </c>
      <c r="L8" s="47" t="s">
        <v>16</v>
      </c>
      <c r="M8" s="47" t="s">
        <v>17</v>
      </c>
      <c r="N8" s="47" t="s">
        <v>18</v>
      </c>
      <c r="O8" s="23" t="s">
        <v>19</v>
      </c>
      <c r="P8" s="48" t="s">
        <v>20</v>
      </c>
      <c r="Q8" s="61" t="s">
        <v>21</v>
      </c>
      <c r="R8" s="62"/>
      <c r="S8" s="62"/>
      <c r="T8" s="62"/>
      <c r="U8" s="62"/>
      <c r="V8" s="62"/>
      <c r="W8" s="62"/>
      <c r="X8" s="62"/>
      <c r="Y8" s="62"/>
    </row>
    <row r="9" spans="1:25" s="3" customFormat="1" ht="15.95" customHeight="1">
      <c r="A9" s="25"/>
      <c r="B9" s="26"/>
      <c r="C9" s="26"/>
      <c r="D9" s="27" t="s">
        <v>22</v>
      </c>
      <c r="E9" s="28" t="s">
        <v>23</v>
      </c>
      <c r="F9" s="26"/>
      <c r="G9" s="29"/>
      <c r="H9" s="30"/>
      <c r="I9" s="30"/>
      <c r="J9" s="49"/>
      <c r="K9" s="49"/>
      <c r="L9" s="49"/>
      <c r="M9" s="49"/>
      <c r="N9" s="49"/>
      <c r="O9" s="30"/>
      <c r="P9" s="50"/>
      <c r="Q9" s="63">
        <f>SUM(O10:O24)</f>
        <v>37500</v>
      </c>
      <c r="R9" s="64" t="s">
        <v>24</v>
      </c>
    </row>
    <row r="10" spans="1:25" s="3" customFormat="1">
      <c r="A10" s="31"/>
      <c r="B10" s="32"/>
      <c r="C10" s="32"/>
      <c r="D10" s="33"/>
      <c r="E10" s="34"/>
      <c r="F10" s="35"/>
      <c r="G10" s="36"/>
      <c r="H10" s="37"/>
      <c r="I10" s="51"/>
      <c r="J10" s="52"/>
      <c r="K10" s="52"/>
      <c r="L10" s="52"/>
      <c r="M10" s="52"/>
      <c r="N10" s="52"/>
      <c r="O10" s="53"/>
      <c r="P10" s="54"/>
      <c r="Q10" s="65"/>
      <c r="R10" s="64"/>
    </row>
    <row r="11" spans="1:25" s="3" customFormat="1">
      <c r="A11" s="31" t="str">
        <f>IF(I11&lt;&gt;"",1+MAX($A9:A$9),"")</f>
        <v/>
      </c>
      <c r="B11" s="32"/>
      <c r="C11" s="32"/>
      <c r="D11" s="33"/>
      <c r="E11" s="38" t="s">
        <v>25</v>
      </c>
      <c r="F11" s="35"/>
      <c r="G11" s="36"/>
      <c r="H11" s="37"/>
      <c r="I11" s="51"/>
      <c r="J11" s="52"/>
      <c r="K11" s="52"/>
      <c r="L11" s="53" t="str">
        <f t="shared" ref="L11" si="0">IF(F11=0,"",J11*H11)</f>
        <v/>
      </c>
      <c r="M11" s="53" t="str">
        <f t="shared" ref="M11" si="1">IF(F11=0,"",K11*H11)</f>
        <v/>
      </c>
      <c r="N11" s="53"/>
      <c r="O11" s="53" t="str">
        <f t="shared" ref="O11" si="2">IF(F11=0,"",L11+M11)</f>
        <v/>
      </c>
      <c r="P11" s="54"/>
      <c r="Q11" s="65"/>
      <c r="R11" s="64"/>
    </row>
    <row r="12" spans="1:25" s="3" customFormat="1">
      <c r="A12" s="31">
        <f>IF(I12&lt;&gt;"",1+MAX($A$9:A11),"")</f>
        <v>1</v>
      </c>
      <c r="B12" s="32"/>
      <c r="C12" s="32"/>
      <c r="D12" s="33"/>
      <c r="E12" s="39" t="s">
        <v>26</v>
      </c>
      <c r="F12" s="35">
        <v>1</v>
      </c>
      <c r="G12" s="36">
        <v>0</v>
      </c>
      <c r="H12" s="37">
        <f>(1+G12)*F12</f>
        <v>1</v>
      </c>
      <c r="I12" s="51" t="s">
        <v>27</v>
      </c>
      <c r="J12" s="52">
        <v>0</v>
      </c>
      <c r="K12" s="52">
        <f t="shared" ref="K12:K24" si="3">J12*H12</f>
        <v>0</v>
      </c>
      <c r="L12" s="53">
        <f t="shared" ref="L12:L15" si="4">IF(F12=0,"",J12*H12)</f>
        <v>0</v>
      </c>
      <c r="M12" s="53">
        <f t="shared" ref="M12:M15" si="5">IF(F12=0,"",K12*H12)</f>
        <v>0</v>
      </c>
      <c r="N12" s="53"/>
      <c r="O12" s="53">
        <f t="shared" ref="O12:O15" si="6">IF(F12=0,"",L12+M12)</f>
        <v>0</v>
      </c>
      <c r="P12" s="54"/>
      <c r="Q12" s="65"/>
      <c r="R12" s="64"/>
    </row>
    <row r="13" spans="1:25" s="3" customFormat="1">
      <c r="A13" s="31">
        <f>IF(I13&lt;&gt;"",1+MAX($A$9:A12),"")</f>
        <v>2</v>
      </c>
      <c r="B13" s="32"/>
      <c r="C13" s="32"/>
      <c r="D13" s="33"/>
      <c r="E13" s="39" t="s">
        <v>28</v>
      </c>
      <c r="F13" s="35">
        <v>1</v>
      </c>
      <c r="G13" s="36">
        <v>0</v>
      </c>
      <c r="H13" s="37">
        <f>(1+G13)*F13</f>
        <v>1</v>
      </c>
      <c r="I13" s="51" t="s">
        <v>27</v>
      </c>
      <c r="J13" s="52">
        <v>0</v>
      </c>
      <c r="K13" s="52">
        <f t="shared" si="3"/>
        <v>0</v>
      </c>
      <c r="L13" s="53">
        <f t="shared" si="4"/>
        <v>0</v>
      </c>
      <c r="M13" s="53">
        <f t="shared" si="5"/>
        <v>0</v>
      </c>
      <c r="N13" s="53"/>
      <c r="O13" s="53">
        <f t="shared" si="6"/>
        <v>0</v>
      </c>
      <c r="P13" s="54"/>
      <c r="Q13" s="65"/>
      <c r="R13" s="64"/>
    </row>
    <row r="14" spans="1:25" s="3" customFormat="1">
      <c r="A14" s="31" t="str">
        <f>IF(I14&lt;&gt;"",1+MAX($A$9:A13),"")</f>
        <v/>
      </c>
      <c r="B14" s="32"/>
      <c r="C14" s="32"/>
      <c r="D14" s="33"/>
      <c r="E14" s="38" t="s">
        <v>29</v>
      </c>
      <c r="F14" s="35"/>
      <c r="G14" s="36"/>
      <c r="H14" s="37"/>
      <c r="I14" s="51"/>
      <c r="J14" s="52"/>
      <c r="K14" s="52"/>
      <c r="L14" s="53" t="str">
        <f t="shared" si="4"/>
        <v/>
      </c>
      <c r="M14" s="53" t="str">
        <f t="shared" si="5"/>
        <v/>
      </c>
      <c r="N14" s="53"/>
      <c r="O14" s="53" t="str">
        <f t="shared" si="6"/>
        <v/>
      </c>
      <c r="P14" s="54"/>
      <c r="Q14" s="65"/>
      <c r="R14" s="64"/>
    </row>
    <row r="15" spans="1:25" s="3" customFormat="1">
      <c r="A15" s="31">
        <f>IF(I15&lt;&gt;"",1+MAX($A$9:A14),"")</f>
        <v>3</v>
      </c>
      <c r="B15" s="32"/>
      <c r="C15" s="32"/>
      <c r="D15" s="33"/>
      <c r="E15" s="40" t="s">
        <v>30</v>
      </c>
      <c r="F15" s="35">
        <v>1</v>
      </c>
      <c r="G15" s="36">
        <v>0</v>
      </c>
      <c r="H15" s="37">
        <f t="shared" ref="H15:H24" si="7">(1+G15)*F15</f>
        <v>1</v>
      </c>
      <c r="I15" s="51" t="s">
        <v>27</v>
      </c>
      <c r="J15" s="52">
        <v>0</v>
      </c>
      <c r="K15" s="52">
        <f t="shared" si="3"/>
        <v>0</v>
      </c>
      <c r="L15" s="53">
        <f t="shared" si="4"/>
        <v>0</v>
      </c>
      <c r="M15" s="53">
        <f t="shared" si="5"/>
        <v>0</v>
      </c>
      <c r="N15" s="53"/>
      <c r="O15" s="53">
        <f t="shared" si="6"/>
        <v>0</v>
      </c>
      <c r="P15" s="54"/>
      <c r="Q15" s="65"/>
      <c r="R15" s="64"/>
    </row>
    <row r="16" spans="1:25" s="3" customFormat="1">
      <c r="A16" s="31">
        <f>IF(I16&lt;&gt;"",1+MAX($A$9:A15),"")</f>
        <v>4</v>
      </c>
      <c r="B16" s="32"/>
      <c r="C16" s="32"/>
      <c r="D16" s="33"/>
      <c r="E16" s="40" t="s">
        <v>31</v>
      </c>
      <c r="F16" s="35">
        <v>1</v>
      </c>
      <c r="G16" s="36">
        <v>0</v>
      </c>
      <c r="H16" s="37">
        <f t="shared" si="7"/>
        <v>1</v>
      </c>
      <c r="I16" s="51" t="s">
        <v>27</v>
      </c>
      <c r="J16" s="52">
        <v>0</v>
      </c>
      <c r="K16" s="52">
        <f t="shared" si="3"/>
        <v>0</v>
      </c>
      <c r="L16" s="53">
        <f t="shared" ref="L16:L24" si="8">IF(F16=0,"",J16*H16)</f>
        <v>0</v>
      </c>
      <c r="M16" s="53">
        <f t="shared" ref="M16:M24" si="9">IF(F16=0,"",K16*H16)</f>
        <v>0</v>
      </c>
      <c r="N16" s="53"/>
      <c r="O16" s="53">
        <f t="shared" ref="O16:O24" si="10">IF(F16=0,"",L16+M16)</f>
        <v>0</v>
      </c>
      <c r="P16" s="54"/>
      <c r="Q16" s="65"/>
      <c r="R16" s="64"/>
    </row>
    <row r="17" spans="1:18" s="3" customFormat="1">
      <c r="A17" s="31">
        <f>IF(I17&lt;&gt;"",1+MAX($A$9:A16),"")</f>
        <v>5</v>
      </c>
      <c r="B17" s="32"/>
      <c r="C17" s="32"/>
      <c r="D17" s="33"/>
      <c r="E17" s="40" t="s">
        <v>32</v>
      </c>
      <c r="F17" s="35">
        <v>1</v>
      </c>
      <c r="G17" s="36">
        <v>0</v>
      </c>
      <c r="H17" s="37">
        <f t="shared" si="7"/>
        <v>1</v>
      </c>
      <c r="I17" s="51" t="s">
        <v>27</v>
      </c>
      <c r="J17" s="52">
        <v>0</v>
      </c>
      <c r="K17" s="52">
        <f t="shared" si="3"/>
        <v>0</v>
      </c>
      <c r="L17" s="53">
        <f t="shared" si="8"/>
        <v>0</v>
      </c>
      <c r="M17" s="53">
        <f t="shared" si="9"/>
        <v>0</v>
      </c>
      <c r="N17" s="53"/>
      <c r="O17" s="53">
        <f t="shared" si="10"/>
        <v>0</v>
      </c>
      <c r="P17" s="54"/>
      <c r="Q17" s="65"/>
      <c r="R17" s="64"/>
    </row>
    <row r="18" spans="1:18" s="3" customFormat="1">
      <c r="A18" s="31">
        <f>IF(I18&lt;&gt;"",1+MAX($A$9:A17),"")</f>
        <v>6</v>
      </c>
      <c r="B18" s="32"/>
      <c r="C18" s="32"/>
      <c r="D18" s="33"/>
      <c r="E18" s="40" t="s">
        <v>33</v>
      </c>
      <c r="F18" s="35">
        <v>1</v>
      </c>
      <c r="G18" s="36">
        <v>0</v>
      </c>
      <c r="H18" s="37">
        <f t="shared" si="7"/>
        <v>1</v>
      </c>
      <c r="I18" s="51" t="s">
        <v>27</v>
      </c>
      <c r="J18" s="52">
        <v>0</v>
      </c>
      <c r="K18" s="52">
        <f t="shared" si="3"/>
        <v>0</v>
      </c>
      <c r="L18" s="53">
        <v>5000</v>
      </c>
      <c r="M18" s="53">
        <f t="shared" si="9"/>
        <v>0</v>
      </c>
      <c r="N18" s="53"/>
      <c r="O18" s="53">
        <f t="shared" si="10"/>
        <v>5000</v>
      </c>
      <c r="P18" s="54"/>
      <c r="Q18" s="65"/>
      <c r="R18" s="64"/>
    </row>
    <row r="19" spans="1:18" s="3" customFormat="1">
      <c r="A19" s="31">
        <f>IF(I19&lt;&gt;"",1+MAX($A$9:A18),"")</f>
        <v>7</v>
      </c>
      <c r="B19" s="32"/>
      <c r="C19" s="32"/>
      <c r="D19" s="33"/>
      <c r="E19" s="40" t="s">
        <v>34</v>
      </c>
      <c r="F19" s="35">
        <v>1</v>
      </c>
      <c r="G19" s="36">
        <v>0</v>
      </c>
      <c r="H19" s="37">
        <f t="shared" si="7"/>
        <v>1</v>
      </c>
      <c r="I19" s="51" t="s">
        <v>27</v>
      </c>
      <c r="J19" s="52">
        <v>0</v>
      </c>
      <c r="K19" s="52">
        <f t="shared" si="3"/>
        <v>0</v>
      </c>
      <c r="L19" s="53">
        <f t="shared" si="8"/>
        <v>0</v>
      </c>
      <c r="M19" s="53">
        <f t="shared" si="9"/>
        <v>0</v>
      </c>
      <c r="N19" s="53"/>
      <c r="O19" s="53">
        <f t="shared" si="10"/>
        <v>0</v>
      </c>
      <c r="P19" s="54"/>
      <c r="Q19" s="65"/>
      <c r="R19" s="64"/>
    </row>
    <row r="20" spans="1:18" s="3" customFormat="1">
      <c r="A20" s="31">
        <f>IF(I20&lt;&gt;"",1+MAX($A$9:A19),"")</f>
        <v>8</v>
      </c>
      <c r="B20" s="32"/>
      <c r="C20" s="32"/>
      <c r="D20" s="33"/>
      <c r="E20" s="40" t="s">
        <v>35</v>
      </c>
      <c r="F20" s="35">
        <v>1</v>
      </c>
      <c r="G20" s="36">
        <v>0</v>
      </c>
      <c r="H20" s="37">
        <f t="shared" si="7"/>
        <v>1</v>
      </c>
      <c r="I20" s="51" t="s">
        <v>27</v>
      </c>
      <c r="J20" s="52">
        <v>0</v>
      </c>
      <c r="K20" s="52">
        <f t="shared" si="3"/>
        <v>0</v>
      </c>
      <c r="L20" s="53">
        <v>17500</v>
      </c>
      <c r="M20" s="53">
        <f t="shared" si="9"/>
        <v>0</v>
      </c>
      <c r="N20" s="53"/>
      <c r="O20" s="53">
        <f t="shared" si="10"/>
        <v>17500</v>
      </c>
      <c r="P20" s="54"/>
      <c r="Q20" s="65"/>
      <c r="R20" s="64"/>
    </row>
    <row r="21" spans="1:18" s="3" customFormat="1">
      <c r="A21" s="31">
        <f>IF(I21&lt;&gt;"",1+MAX($A$9:A20),"")</f>
        <v>9</v>
      </c>
      <c r="B21" s="32"/>
      <c r="C21" s="32"/>
      <c r="D21" s="33"/>
      <c r="E21" s="40" t="s">
        <v>36</v>
      </c>
      <c r="F21" s="35">
        <v>1</v>
      </c>
      <c r="G21" s="36">
        <v>0</v>
      </c>
      <c r="H21" s="37">
        <f t="shared" si="7"/>
        <v>1</v>
      </c>
      <c r="I21" s="51" t="s">
        <v>27</v>
      </c>
      <c r="J21" s="52">
        <v>0</v>
      </c>
      <c r="K21" s="52">
        <f t="shared" si="3"/>
        <v>0</v>
      </c>
      <c r="L21" s="53">
        <f t="shared" si="8"/>
        <v>0</v>
      </c>
      <c r="M21" s="53">
        <f t="shared" si="9"/>
        <v>0</v>
      </c>
      <c r="N21" s="53"/>
      <c r="O21" s="53">
        <f t="shared" si="10"/>
        <v>0</v>
      </c>
      <c r="P21" s="54"/>
      <c r="Q21" s="65"/>
      <c r="R21" s="64"/>
    </row>
    <row r="22" spans="1:18" s="3" customFormat="1">
      <c r="A22" s="31">
        <f>IF(I22&lt;&gt;"",1+MAX($A$9:A21),"")</f>
        <v>10</v>
      </c>
      <c r="B22" s="32"/>
      <c r="C22" s="32"/>
      <c r="D22" s="33"/>
      <c r="E22" s="40" t="s">
        <v>37</v>
      </c>
      <c r="F22" s="35">
        <v>1</v>
      </c>
      <c r="G22" s="36">
        <v>0</v>
      </c>
      <c r="H22" s="37">
        <f t="shared" si="7"/>
        <v>1</v>
      </c>
      <c r="I22" s="51" t="s">
        <v>27</v>
      </c>
      <c r="J22" s="52">
        <v>0</v>
      </c>
      <c r="K22" s="52">
        <f t="shared" si="3"/>
        <v>0</v>
      </c>
      <c r="L22" s="53">
        <f t="shared" si="8"/>
        <v>0</v>
      </c>
      <c r="M22" s="53">
        <f t="shared" si="9"/>
        <v>0</v>
      </c>
      <c r="N22" s="53"/>
      <c r="O22" s="53">
        <f t="shared" si="10"/>
        <v>0</v>
      </c>
      <c r="P22" s="54"/>
      <c r="Q22" s="65"/>
      <c r="R22" s="64"/>
    </row>
    <row r="23" spans="1:18" s="3" customFormat="1">
      <c r="A23" s="31">
        <f>IF(I23&lt;&gt;"",1+MAX($A$9:A22),"")</f>
        <v>11</v>
      </c>
      <c r="B23" s="32"/>
      <c r="C23" s="32"/>
      <c r="D23" s="33"/>
      <c r="E23" s="40" t="s">
        <v>38</v>
      </c>
      <c r="F23" s="35">
        <v>1</v>
      </c>
      <c r="G23" s="36">
        <v>0</v>
      </c>
      <c r="H23" s="37">
        <f t="shared" si="7"/>
        <v>1</v>
      </c>
      <c r="I23" s="51" t="s">
        <v>27</v>
      </c>
      <c r="J23" s="52">
        <v>0</v>
      </c>
      <c r="K23" s="52">
        <f t="shared" si="3"/>
        <v>0</v>
      </c>
      <c r="L23" s="53">
        <v>15000</v>
      </c>
      <c r="M23" s="53">
        <f t="shared" si="9"/>
        <v>0</v>
      </c>
      <c r="N23" s="53"/>
      <c r="O23" s="53">
        <f t="shared" si="10"/>
        <v>15000</v>
      </c>
      <c r="P23" s="54"/>
      <c r="Q23" s="65"/>
      <c r="R23" s="64"/>
    </row>
    <row r="24" spans="1:18" s="3" customFormat="1">
      <c r="A24" s="31">
        <f>IF(I24&lt;&gt;"",1+MAX($A$9:A23),"")</f>
        <v>12</v>
      </c>
      <c r="B24" s="32"/>
      <c r="C24" s="32"/>
      <c r="D24" s="33"/>
      <c r="E24" s="40" t="s">
        <v>39</v>
      </c>
      <c r="F24" s="35">
        <v>1</v>
      </c>
      <c r="G24" s="36">
        <v>0</v>
      </c>
      <c r="H24" s="37">
        <f t="shared" si="7"/>
        <v>1</v>
      </c>
      <c r="I24" s="51" t="s">
        <v>27</v>
      </c>
      <c r="J24" s="52">
        <v>0</v>
      </c>
      <c r="K24" s="52">
        <f t="shared" si="3"/>
        <v>0</v>
      </c>
      <c r="L24" s="53">
        <f t="shared" si="8"/>
        <v>0</v>
      </c>
      <c r="M24" s="53">
        <f t="shared" si="9"/>
        <v>0</v>
      </c>
      <c r="N24" s="53"/>
      <c r="O24" s="53">
        <f t="shared" si="10"/>
        <v>0</v>
      </c>
      <c r="P24" s="54"/>
      <c r="Q24" s="65"/>
      <c r="R24" s="64"/>
    </row>
    <row r="25" spans="1:18" s="3" customFormat="1">
      <c r="A25" s="31"/>
      <c r="B25" s="32"/>
      <c r="C25" s="32"/>
      <c r="D25" s="33"/>
      <c r="E25" s="40"/>
      <c r="F25" s="35"/>
      <c r="G25" s="36"/>
      <c r="H25" s="37"/>
      <c r="I25" s="51"/>
      <c r="J25" s="52"/>
      <c r="K25" s="52"/>
      <c r="L25" s="53"/>
      <c r="M25" s="53"/>
      <c r="N25" s="53"/>
      <c r="O25" s="53"/>
      <c r="P25" s="54"/>
      <c r="Q25" s="65"/>
      <c r="R25" s="64"/>
    </row>
    <row r="26" spans="1:18" s="3" customFormat="1" ht="18" customHeight="1">
      <c r="A26" s="25"/>
      <c r="B26" s="26"/>
      <c r="C26" s="26"/>
      <c r="D26" s="27" t="s">
        <v>40</v>
      </c>
      <c r="E26" s="28" t="s">
        <v>41</v>
      </c>
      <c r="F26" s="26"/>
      <c r="G26" s="41"/>
      <c r="H26" s="42"/>
      <c r="I26" s="26"/>
      <c r="J26" s="49"/>
      <c r="K26" s="49"/>
      <c r="L26" s="49"/>
      <c r="M26" s="49"/>
      <c r="N26" s="55">
        <v>86</v>
      </c>
      <c r="O26" s="56"/>
      <c r="P26" s="57"/>
      <c r="Q26" s="63">
        <f>SUM(P27:P79)</f>
        <v>58367.460502020418</v>
      </c>
      <c r="R26" s="64"/>
    </row>
    <row r="27" spans="1:18" s="3" customFormat="1">
      <c r="A27" s="31" t="str">
        <f>IF(I27&lt;&gt;"",1+MAX($A$9:A26),"")</f>
        <v/>
      </c>
      <c r="B27" s="32"/>
      <c r="C27" s="32"/>
      <c r="D27" s="33"/>
      <c r="E27" s="38" t="s">
        <v>48</v>
      </c>
      <c r="F27" s="93"/>
      <c r="G27" s="36" t="str">
        <f t="shared" ref="G27" si="11">IF(F27=0,"",0)</f>
        <v/>
      </c>
      <c r="H27" s="37"/>
      <c r="I27" s="51"/>
      <c r="J27" s="52"/>
      <c r="K27" s="52"/>
      <c r="L27" s="58"/>
      <c r="M27" s="58"/>
      <c r="N27" s="53"/>
      <c r="O27" s="53"/>
      <c r="P27" s="54"/>
      <c r="Q27" s="65"/>
      <c r="R27" s="64"/>
    </row>
    <row r="28" spans="1:18" s="3" customFormat="1">
      <c r="A28" s="31">
        <f>IF(I28&lt;&gt;"",1+MAX($A$9:A27),"")</f>
        <v>13</v>
      </c>
      <c r="B28" s="32"/>
      <c r="C28" s="32"/>
      <c r="D28" s="33"/>
      <c r="E28" s="94" t="s">
        <v>49</v>
      </c>
      <c r="F28" s="93">
        <f>(190.8*0.67)/27</f>
        <v>4.7346666666666675</v>
      </c>
      <c r="G28" s="36">
        <v>0.1</v>
      </c>
      <c r="H28" s="37">
        <f t="shared" ref="H28" si="12">(1+G28)*F28</f>
        <v>5.2081333333333344</v>
      </c>
      <c r="I28" s="100" t="s">
        <v>81</v>
      </c>
      <c r="J28" s="101">
        <v>225</v>
      </c>
      <c r="K28" s="52">
        <f t="shared" ref="K28" si="13">J28*H28</f>
        <v>1171.8300000000002</v>
      </c>
      <c r="L28" s="102">
        <v>2.0833333333333299</v>
      </c>
      <c r="M28" s="58">
        <f t="shared" ref="M28" si="14">L28*H28</f>
        <v>10.850277777777762</v>
      </c>
      <c r="N28" s="53">
        <f>N$26</f>
        <v>86</v>
      </c>
      <c r="O28" s="53">
        <f t="shared" ref="O28" si="15">M28*N28</f>
        <v>933.12388888888756</v>
      </c>
      <c r="P28" s="54">
        <f t="shared" ref="P28" si="16">O28+K28</f>
        <v>2104.9538888888878</v>
      </c>
      <c r="Q28" s="65"/>
      <c r="R28" s="64"/>
    </row>
    <row r="29" spans="1:18" s="3" customFormat="1">
      <c r="A29" s="31">
        <f>IF(I29&lt;&gt;"",1+MAX($A$9:A28),"")</f>
        <v>14</v>
      </c>
      <c r="B29" s="32"/>
      <c r="C29" s="32"/>
      <c r="D29" s="33"/>
      <c r="E29" s="94" t="s">
        <v>50</v>
      </c>
      <c r="F29" s="93">
        <v>190.8</v>
      </c>
      <c r="G29" s="36">
        <v>0.1</v>
      </c>
      <c r="H29" s="37">
        <f t="shared" ref="H29:H32" si="17">(1+G29)*F29</f>
        <v>209.88000000000002</v>
      </c>
      <c r="I29" s="100" t="s">
        <v>82</v>
      </c>
      <c r="J29" s="101">
        <v>0.34</v>
      </c>
      <c r="K29" s="52">
        <f t="shared" ref="K29:K79" si="18">J29*H29</f>
        <v>71.359200000000016</v>
      </c>
      <c r="L29" s="102">
        <v>2.0833333333333298E-3</v>
      </c>
      <c r="M29" s="58">
        <f t="shared" ref="M29:M79" si="19">L29*H29</f>
        <v>0.43724999999999931</v>
      </c>
      <c r="N29" s="53">
        <f t="shared" ref="N29:N79" si="20">N$26</f>
        <v>86</v>
      </c>
      <c r="O29" s="53">
        <f t="shared" ref="O29:O79" si="21">M29*N29</f>
        <v>37.60349999999994</v>
      </c>
      <c r="P29" s="54">
        <f t="shared" ref="P29:P79" si="22">O29+K29</f>
        <v>108.96269999999996</v>
      </c>
      <c r="Q29" s="65"/>
      <c r="R29" s="64"/>
    </row>
    <row r="30" spans="1:18" s="3" customFormat="1">
      <c r="A30" s="31">
        <f>IF(I30&lt;&gt;"",1+MAX($A$9:A29),"")</f>
        <v>15</v>
      </c>
      <c r="B30" s="32"/>
      <c r="C30" s="32"/>
      <c r="D30" s="33"/>
      <c r="E30" s="94" t="s">
        <v>51</v>
      </c>
      <c r="F30" s="93">
        <f>(190.8/1)*2*0.668</f>
        <v>254.90880000000004</v>
      </c>
      <c r="G30" s="36">
        <v>0.1</v>
      </c>
      <c r="H30" s="37">
        <f t="shared" si="17"/>
        <v>280.39968000000005</v>
      </c>
      <c r="I30" s="100" t="s">
        <v>83</v>
      </c>
      <c r="J30" s="101">
        <v>0.93</v>
      </c>
      <c r="K30" s="52">
        <f t="shared" si="18"/>
        <v>260.77170240000004</v>
      </c>
      <c r="L30" s="102">
        <v>1.38888888888889E-2</v>
      </c>
      <c r="M30" s="58">
        <f t="shared" si="19"/>
        <v>3.8944400000000039</v>
      </c>
      <c r="N30" s="53">
        <f t="shared" si="20"/>
        <v>86</v>
      </c>
      <c r="O30" s="53">
        <f t="shared" si="21"/>
        <v>334.92184000000032</v>
      </c>
      <c r="P30" s="54">
        <f t="shared" si="22"/>
        <v>595.6935424000003</v>
      </c>
      <c r="Q30" s="65"/>
      <c r="R30" s="64"/>
    </row>
    <row r="31" spans="1:18" s="3" customFormat="1">
      <c r="A31" s="31">
        <f>IF(I31&lt;&gt;"",1+MAX($A$9:A30),"")</f>
        <v>16</v>
      </c>
      <c r="B31" s="32"/>
      <c r="C31" s="32"/>
      <c r="D31" s="33"/>
      <c r="E31" s="94" t="s">
        <v>52</v>
      </c>
      <c r="F31" s="93">
        <v>190.8</v>
      </c>
      <c r="G31" s="36">
        <v>0.1</v>
      </c>
      <c r="H31" s="37">
        <f t="shared" si="17"/>
        <v>209.88000000000002</v>
      </c>
      <c r="I31" s="100" t="s">
        <v>82</v>
      </c>
      <c r="J31" s="101">
        <v>6.3E-2</v>
      </c>
      <c r="K31" s="52">
        <f t="shared" si="18"/>
        <v>13.222440000000002</v>
      </c>
      <c r="L31" s="102">
        <v>1.38888888888889E-3</v>
      </c>
      <c r="M31" s="58">
        <f t="shared" si="19"/>
        <v>0.29150000000000026</v>
      </c>
      <c r="N31" s="53">
        <f t="shared" si="20"/>
        <v>86</v>
      </c>
      <c r="O31" s="53">
        <f t="shared" si="21"/>
        <v>25.069000000000024</v>
      </c>
      <c r="P31" s="54">
        <f t="shared" si="22"/>
        <v>38.291440000000023</v>
      </c>
      <c r="Q31" s="65"/>
      <c r="R31" s="64"/>
    </row>
    <row r="32" spans="1:18" s="3" customFormat="1">
      <c r="A32" s="31">
        <f>IF(I32&lt;&gt;"",1+MAX($A$9:A31),"")</f>
        <v>17</v>
      </c>
      <c r="B32" s="32"/>
      <c r="C32" s="32"/>
      <c r="D32" s="33"/>
      <c r="E32" s="95" t="s">
        <v>53</v>
      </c>
      <c r="F32" s="93">
        <v>190.8</v>
      </c>
      <c r="G32" s="36">
        <v>0.1</v>
      </c>
      <c r="H32" s="37">
        <f t="shared" si="17"/>
        <v>209.88000000000002</v>
      </c>
      <c r="I32" s="100" t="s">
        <v>82</v>
      </c>
      <c r="J32" s="101"/>
      <c r="K32" s="52">
        <f t="shared" si="18"/>
        <v>0</v>
      </c>
      <c r="L32" s="102">
        <v>3.4722222222222199E-3</v>
      </c>
      <c r="M32" s="58">
        <f t="shared" si="19"/>
        <v>0.72874999999999956</v>
      </c>
      <c r="N32" s="53">
        <f t="shared" si="20"/>
        <v>86</v>
      </c>
      <c r="O32" s="53">
        <f t="shared" si="21"/>
        <v>62.672499999999964</v>
      </c>
      <c r="P32" s="54">
        <f t="shared" si="22"/>
        <v>62.672499999999964</v>
      </c>
      <c r="Q32" s="65"/>
      <c r="R32" s="64"/>
    </row>
    <row r="33" spans="1:18" s="3" customFormat="1">
      <c r="A33" s="31">
        <f>IF(I33&lt;&gt;"",1+MAX($A$9:A32),"")</f>
        <v>18</v>
      </c>
      <c r="B33" s="32"/>
      <c r="C33" s="32"/>
      <c r="D33" s="33"/>
      <c r="E33" s="94" t="s">
        <v>54</v>
      </c>
      <c r="F33" s="93">
        <f>(406.6*0.33)/27</f>
        <v>4.9695555555555568</v>
      </c>
      <c r="G33" s="36">
        <v>0.1</v>
      </c>
      <c r="H33" s="37">
        <f t="shared" ref="H33:H36" si="23">(1+G33)*F33</f>
        <v>5.4665111111111129</v>
      </c>
      <c r="I33" s="100" t="s">
        <v>81</v>
      </c>
      <c r="J33" s="101">
        <v>225</v>
      </c>
      <c r="K33" s="52">
        <f t="shared" si="18"/>
        <v>1229.9650000000004</v>
      </c>
      <c r="L33" s="102">
        <v>2.0833333333333299</v>
      </c>
      <c r="M33" s="58">
        <f t="shared" si="19"/>
        <v>11.388564814814799</v>
      </c>
      <c r="N33" s="53">
        <f t="shared" si="20"/>
        <v>86</v>
      </c>
      <c r="O33" s="53">
        <f t="shared" si="21"/>
        <v>979.41657407407274</v>
      </c>
      <c r="P33" s="54">
        <f t="shared" si="22"/>
        <v>2209.3815740740729</v>
      </c>
      <c r="Q33" s="65"/>
      <c r="R33" s="64"/>
    </row>
    <row r="34" spans="1:18" s="3" customFormat="1">
      <c r="A34" s="31">
        <f>IF(I34&lt;&gt;"",1+MAX($A$9:A33),"")</f>
        <v>19</v>
      </c>
      <c r="B34" s="32"/>
      <c r="C34" s="32"/>
      <c r="D34" s="33"/>
      <c r="E34" s="94" t="s">
        <v>55</v>
      </c>
      <c r="F34" s="93">
        <v>406.6</v>
      </c>
      <c r="G34" s="36">
        <v>0.1</v>
      </c>
      <c r="H34" s="37">
        <f t="shared" si="23"/>
        <v>447.26000000000005</v>
      </c>
      <c r="I34" s="100" t="s">
        <v>82</v>
      </c>
      <c r="J34" s="101">
        <v>0.34</v>
      </c>
      <c r="K34" s="52">
        <f t="shared" si="18"/>
        <v>152.06840000000003</v>
      </c>
      <c r="L34" s="102">
        <v>2.0833333333333298E-3</v>
      </c>
      <c r="M34" s="58">
        <f t="shared" si="19"/>
        <v>0.93179166666666524</v>
      </c>
      <c r="N34" s="53">
        <f t="shared" si="20"/>
        <v>86</v>
      </c>
      <c r="O34" s="53">
        <f t="shared" si="21"/>
        <v>80.134083333333209</v>
      </c>
      <c r="P34" s="54">
        <f t="shared" si="22"/>
        <v>232.20248333333325</v>
      </c>
      <c r="Q34" s="65"/>
      <c r="R34" s="64"/>
    </row>
    <row r="35" spans="1:18" s="3" customFormat="1">
      <c r="A35" s="31">
        <f>IF(I35&lt;&gt;"",1+MAX($A$9:A34),"")</f>
        <v>20</v>
      </c>
      <c r="B35" s="32"/>
      <c r="C35" s="32"/>
      <c r="D35" s="33"/>
      <c r="E35" s="94" t="s">
        <v>56</v>
      </c>
      <c r="F35" s="93">
        <v>406.6</v>
      </c>
      <c r="G35" s="36">
        <v>0.1</v>
      </c>
      <c r="H35" s="37">
        <f t="shared" si="23"/>
        <v>447.26000000000005</v>
      </c>
      <c r="I35" s="100" t="s">
        <v>82</v>
      </c>
      <c r="J35" s="101">
        <v>6.3E-2</v>
      </c>
      <c r="K35" s="52">
        <f t="shared" si="18"/>
        <v>28.177380000000003</v>
      </c>
      <c r="L35" s="102">
        <v>1.38888888888889E-3</v>
      </c>
      <c r="M35" s="58">
        <f t="shared" si="19"/>
        <v>0.62119444444444505</v>
      </c>
      <c r="N35" s="53">
        <f t="shared" si="20"/>
        <v>86</v>
      </c>
      <c r="O35" s="53">
        <f t="shared" si="21"/>
        <v>53.422722222222276</v>
      </c>
      <c r="P35" s="54">
        <f t="shared" si="22"/>
        <v>81.600102222222276</v>
      </c>
      <c r="Q35" s="65"/>
      <c r="R35" s="64"/>
    </row>
    <row r="36" spans="1:18" s="3" customFormat="1">
      <c r="A36" s="31">
        <f>IF(I36&lt;&gt;"",1+MAX($A$9:A35),"")</f>
        <v>21</v>
      </c>
      <c r="B36" s="32"/>
      <c r="C36" s="32"/>
      <c r="D36" s="33"/>
      <c r="E36" s="95" t="s">
        <v>57</v>
      </c>
      <c r="F36" s="93">
        <v>406.6</v>
      </c>
      <c r="G36" s="36">
        <v>0.1</v>
      </c>
      <c r="H36" s="37">
        <f t="shared" si="23"/>
        <v>447.26000000000005</v>
      </c>
      <c r="I36" s="100" t="s">
        <v>82</v>
      </c>
      <c r="J36" s="101"/>
      <c r="K36" s="52">
        <f t="shared" si="18"/>
        <v>0</v>
      </c>
      <c r="L36" s="102">
        <v>3.4722222222222199E-3</v>
      </c>
      <c r="M36" s="58">
        <f t="shared" si="19"/>
        <v>1.5529861111111103</v>
      </c>
      <c r="N36" s="53">
        <f t="shared" si="20"/>
        <v>86</v>
      </c>
      <c r="O36" s="53">
        <f t="shared" si="21"/>
        <v>133.55680555555548</v>
      </c>
      <c r="P36" s="54">
        <f t="shared" si="22"/>
        <v>133.55680555555548</v>
      </c>
      <c r="Q36" s="65"/>
      <c r="R36" s="64"/>
    </row>
    <row r="37" spans="1:18" s="3" customFormat="1">
      <c r="A37" s="31" t="str">
        <f>IF(I37&lt;&gt;"",1+MAX($A$9:A36),"")</f>
        <v/>
      </c>
      <c r="B37" s="32"/>
      <c r="C37" s="32"/>
      <c r="D37" s="33"/>
      <c r="E37" s="94"/>
      <c r="F37" s="93"/>
      <c r="G37" s="36"/>
      <c r="H37" s="37"/>
      <c r="I37" s="100"/>
      <c r="J37" s="101"/>
      <c r="K37" s="52"/>
      <c r="L37" s="102"/>
      <c r="M37" s="58"/>
      <c r="N37" s="53"/>
      <c r="O37" s="53"/>
      <c r="P37" s="54"/>
      <c r="Q37" s="65"/>
      <c r="R37" s="64"/>
    </row>
    <row r="38" spans="1:18" s="3" customFormat="1">
      <c r="A38" s="31" t="str">
        <f>IF(I38&lt;&gt;"",1+MAX($A$9:A37),"")</f>
        <v/>
      </c>
      <c r="B38" s="32"/>
      <c r="C38" s="32"/>
      <c r="D38" s="33"/>
      <c r="E38" s="96" t="s">
        <v>58</v>
      </c>
      <c r="F38" s="93"/>
      <c r="G38" s="36"/>
      <c r="H38" s="37"/>
      <c r="I38" s="100"/>
      <c r="J38" s="101"/>
      <c r="K38" s="52"/>
      <c r="L38" s="102"/>
      <c r="M38" s="58"/>
      <c r="N38" s="53"/>
      <c r="O38" s="53"/>
      <c r="P38" s="54"/>
      <c r="Q38" s="65"/>
      <c r="R38" s="64"/>
    </row>
    <row r="39" spans="1:18" s="3" customFormat="1" ht="47.25">
      <c r="A39" s="31">
        <f>IF(I39&lt;&gt;"",1+MAX($A$9:A38),"")</f>
        <v>22</v>
      </c>
      <c r="B39" s="32"/>
      <c r="C39" s="32"/>
      <c r="D39" s="33"/>
      <c r="E39" s="97" t="s">
        <v>59</v>
      </c>
      <c r="F39" s="93">
        <f>(252.4*1.16*2.5)/27</f>
        <v>27.10962962962963</v>
      </c>
      <c r="G39" s="36">
        <v>0.1</v>
      </c>
      <c r="H39" s="37">
        <f t="shared" ref="H39" si="24">(1+G39)*F39</f>
        <v>29.820592592592597</v>
      </c>
      <c r="I39" s="100" t="s">
        <v>82</v>
      </c>
      <c r="J39" s="101">
        <f>225*14/12/27</f>
        <v>9.7222222222222214</v>
      </c>
      <c r="K39" s="52">
        <f t="shared" si="18"/>
        <v>289.92242798353914</v>
      </c>
      <c r="L39" s="102">
        <v>4.1666666666666699E-2</v>
      </c>
      <c r="M39" s="58">
        <f t="shared" si="19"/>
        <v>1.2425246913580259</v>
      </c>
      <c r="N39" s="53">
        <f t="shared" si="20"/>
        <v>86</v>
      </c>
      <c r="O39" s="53">
        <f t="shared" si="21"/>
        <v>106.85712345679023</v>
      </c>
      <c r="P39" s="54">
        <f t="shared" si="22"/>
        <v>396.77955144032939</v>
      </c>
      <c r="Q39" s="65"/>
      <c r="R39" s="64"/>
    </row>
    <row r="40" spans="1:18" s="3" customFormat="1">
      <c r="A40" s="31" t="str">
        <f>IF(I40&lt;&gt;"",1+MAX($A$9:A39),"")</f>
        <v/>
      </c>
      <c r="B40" s="32"/>
      <c r="C40" s="32"/>
      <c r="D40" s="33"/>
      <c r="E40" s="94"/>
      <c r="F40" s="93"/>
      <c r="G40" s="36"/>
      <c r="H40" s="37"/>
      <c r="I40" s="100"/>
      <c r="J40" s="101"/>
      <c r="K40" s="52"/>
      <c r="L40" s="102"/>
      <c r="M40" s="58"/>
      <c r="N40" s="53"/>
      <c r="O40" s="53"/>
      <c r="P40" s="54"/>
      <c r="Q40" s="65"/>
      <c r="R40" s="64"/>
    </row>
    <row r="41" spans="1:18" s="3" customFormat="1">
      <c r="A41" s="31">
        <f>IF(I41&lt;&gt;"",1+MAX($A$9:A40),"")</f>
        <v>23</v>
      </c>
      <c r="B41" s="32"/>
      <c r="C41" s="32"/>
      <c r="D41" s="33"/>
      <c r="E41" s="95" t="s">
        <v>60</v>
      </c>
      <c r="F41" s="93">
        <f>(252.4*2.5)*2</f>
        <v>1262</v>
      </c>
      <c r="G41" s="36">
        <v>0.1</v>
      </c>
      <c r="H41" s="37">
        <f t="shared" ref="H41" si="25">(1+G41)*F41</f>
        <v>1388.2</v>
      </c>
      <c r="I41" s="100" t="s">
        <v>82</v>
      </c>
      <c r="J41" s="101"/>
      <c r="K41" s="52">
        <f t="shared" si="18"/>
        <v>0</v>
      </c>
      <c r="L41" s="102">
        <v>3.4722222222222203E-2</v>
      </c>
      <c r="M41" s="58">
        <f t="shared" si="19"/>
        <v>48.201388888888864</v>
      </c>
      <c r="N41" s="53">
        <f t="shared" si="20"/>
        <v>86</v>
      </c>
      <c r="O41" s="53">
        <f t="shared" si="21"/>
        <v>4145.3194444444425</v>
      </c>
      <c r="P41" s="54">
        <f t="shared" si="22"/>
        <v>4145.3194444444425</v>
      </c>
      <c r="Q41" s="65"/>
      <c r="R41" s="64"/>
    </row>
    <row r="42" spans="1:18" s="3" customFormat="1">
      <c r="A42" s="31" t="str">
        <f>IF(I42&lt;&gt;"",1+MAX($A$9:A41),"")</f>
        <v/>
      </c>
      <c r="B42" s="32"/>
      <c r="C42" s="32"/>
      <c r="D42" s="33"/>
      <c r="E42" s="94"/>
      <c r="F42" s="93"/>
      <c r="G42" s="36"/>
      <c r="H42" s="37"/>
      <c r="I42" s="100"/>
      <c r="J42" s="101"/>
      <c r="K42" s="52"/>
      <c r="L42" s="102"/>
      <c r="M42" s="58"/>
      <c r="N42" s="53"/>
      <c r="O42" s="53"/>
      <c r="P42" s="54"/>
      <c r="Q42" s="65"/>
      <c r="R42" s="64"/>
    </row>
    <row r="43" spans="1:18" s="3" customFormat="1" ht="31.5">
      <c r="A43" s="31">
        <f>IF(I43&lt;&gt;"",1+MAX($A$9:A42),"")</f>
        <v>24</v>
      </c>
      <c r="B43" s="32"/>
      <c r="C43" s="32"/>
      <c r="D43" s="33"/>
      <c r="E43" s="98" t="s">
        <v>61</v>
      </c>
      <c r="F43" s="93">
        <f>(252.4*1*3.33)/27</f>
        <v>31.129333333333335</v>
      </c>
      <c r="G43" s="36">
        <v>0.1</v>
      </c>
      <c r="H43" s="37">
        <f t="shared" ref="H43" si="26">(1+G43)*F43</f>
        <v>34.242266666666673</v>
      </c>
      <c r="I43" s="100" t="s">
        <v>81</v>
      </c>
      <c r="J43" s="101">
        <v>225</v>
      </c>
      <c r="K43" s="52">
        <f t="shared" si="18"/>
        <v>7704.5100000000011</v>
      </c>
      <c r="L43" s="102">
        <v>1.3888888888888899</v>
      </c>
      <c r="M43" s="58">
        <f t="shared" si="19"/>
        <v>47.558703703703749</v>
      </c>
      <c r="N43" s="53">
        <f t="shared" si="20"/>
        <v>86</v>
      </c>
      <c r="O43" s="53">
        <f t="shared" si="21"/>
        <v>4090.0485185185225</v>
      </c>
      <c r="P43" s="54">
        <f t="shared" si="22"/>
        <v>11794.558518518523</v>
      </c>
      <c r="Q43" s="65"/>
      <c r="R43" s="64"/>
    </row>
    <row r="44" spans="1:18" s="3" customFormat="1">
      <c r="A44" s="31" t="str">
        <f>IF(I44&lt;&gt;"",1+MAX($A$9:A43),"")</f>
        <v/>
      </c>
      <c r="B44" s="32"/>
      <c r="C44" s="32"/>
      <c r="D44" s="33"/>
      <c r="E44" s="94"/>
      <c r="F44" s="93"/>
      <c r="G44" s="36"/>
      <c r="H44" s="37"/>
      <c r="I44" s="100"/>
      <c r="J44" s="101"/>
      <c r="K44" s="52"/>
      <c r="L44" s="102"/>
      <c r="M44" s="58"/>
      <c r="N44" s="53"/>
      <c r="O44" s="53"/>
      <c r="P44" s="54"/>
      <c r="Q44" s="65"/>
      <c r="R44" s="64"/>
    </row>
    <row r="45" spans="1:18" s="3" customFormat="1">
      <c r="A45" s="31">
        <f>IF(I45&lt;&gt;"",1+MAX($A$9:A44),"")</f>
        <v>25</v>
      </c>
      <c r="B45" s="32"/>
      <c r="C45" s="32"/>
      <c r="D45" s="33"/>
      <c r="E45" s="95" t="s">
        <v>62</v>
      </c>
      <c r="F45" s="93">
        <f>(252.4*1)*2</f>
        <v>504.8</v>
      </c>
      <c r="G45" s="36">
        <v>0.1</v>
      </c>
      <c r="H45" s="37">
        <f t="shared" ref="H45" si="27">(1+G45)*F45</f>
        <v>555.28000000000009</v>
      </c>
      <c r="I45" s="100" t="s">
        <v>82</v>
      </c>
      <c r="J45" s="101"/>
      <c r="K45" s="52">
        <f t="shared" si="18"/>
        <v>0</v>
      </c>
      <c r="L45" s="102">
        <v>3.4722222222222203E-2</v>
      </c>
      <c r="M45" s="58">
        <f t="shared" si="19"/>
        <v>19.280555555555548</v>
      </c>
      <c r="N45" s="53">
        <f t="shared" si="20"/>
        <v>86</v>
      </c>
      <c r="O45" s="53">
        <f t="shared" si="21"/>
        <v>1658.1277777777771</v>
      </c>
      <c r="P45" s="54">
        <f t="shared" si="22"/>
        <v>1658.1277777777771</v>
      </c>
      <c r="Q45" s="65"/>
      <c r="R45" s="64"/>
    </row>
    <row r="46" spans="1:18" s="3" customFormat="1">
      <c r="A46" s="31" t="str">
        <f>IF(I46&lt;&gt;"",1+MAX($A$9:A45),"")</f>
        <v/>
      </c>
      <c r="B46" s="32"/>
      <c r="C46" s="32"/>
      <c r="D46" s="33"/>
      <c r="E46" s="95"/>
      <c r="F46" s="93"/>
      <c r="G46" s="36"/>
      <c r="H46" s="37"/>
      <c r="I46" s="100"/>
      <c r="J46" s="101"/>
      <c r="K46" s="52"/>
      <c r="L46" s="102"/>
      <c r="M46" s="58"/>
      <c r="N46" s="53"/>
      <c r="O46" s="53"/>
      <c r="P46" s="54"/>
      <c r="Q46" s="65"/>
      <c r="R46" s="64"/>
    </row>
    <row r="47" spans="1:18" s="3" customFormat="1">
      <c r="A47" s="31">
        <f>IF(I47&lt;&gt;"",1+MAX($A$9:A46),"")</f>
        <v>26</v>
      </c>
      <c r="B47" s="32"/>
      <c r="C47" s="32"/>
      <c r="D47" s="33"/>
      <c r="E47" s="98" t="s">
        <v>63</v>
      </c>
      <c r="F47" s="93">
        <f>(3*2.5*2)/27*4</f>
        <v>2.2222222222222223</v>
      </c>
      <c r="G47" s="36">
        <v>0.1</v>
      </c>
      <c r="H47" s="37">
        <f t="shared" ref="H47:H48" si="28">(1+G47)*F47</f>
        <v>2.4444444444444446</v>
      </c>
      <c r="I47" s="100" t="s">
        <v>81</v>
      </c>
      <c r="J47" s="101">
        <v>225</v>
      </c>
      <c r="K47" s="52">
        <f t="shared" si="18"/>
        <v>550</v>
      </c>
      <c r="L47" s="102">
        <v>5.5555555555555598</v>
      </c>
      <c r="M47" s="58">
        <f t="shared" si="19"/>
        <v>13.580246913580259</v>
      </c>
      <c r="N47" s="53">
        <f t="shared" si="20"/>
        <v>86</v>
      </c>
      <c r="O47" s="53">
        <f t="shared" si="21"/>
        <v>1167.9012345679023</v>
      </c>
      <c r="P47" s="54">
        <f t="shared" si="22"/>
        <v>1717.9012345679023</v>
      </c>
      <c r="Q47" s="65"/>
      <c r="R47" s="64"/>
    </row>
    <row r="48" spans="1:18" s="3" customFormat="1">
      <c r="A48" s="31">
        <f>IF(I48&lt;&gt;"",1+MAX($A$9:A47),"")</f>
        <v>27</v>
      </c>
      <c r="B48" s="32"/>
      <c r="C48" s="32"/>
      <c r="D48" s="33"/>
      <c r="E48" s="95" t="s">
        <v>62</v>
      </c>
      <c r="F48" s="93">
        <f>(22*2)*4</f>
        <v>176</v>
      </c>
      <c r="G48" s="36">
        <v>0.1</v>
      </c>
      <c r="H48" s="37">
        <f t="shared" si="28"/>
        <v>193.60000000000002</v>
      </c>
      <c r="I48" s="100" t="s">
        <v>82</v>
      </c>
      <c r="J48" s="101"/>
      <c r="K48" s="52">
        <f t="shared" si="18"/>
        <v>0</v>
      </c>
      <c r="L48" s="102">
        <v>3.4722222222222203E-2</v>
      </c>
      <c r="M48" s="58">
        <f t="shared" si="19"/>
        <v>6.7222222222222197</v>
      </c>
      <c r="N48" s="53">
        <f t="shared" si="20"/>
        <v>86</v>
      </c>
      <c r="O48" s="53">
        <f t="shared" si="21"/>
        <v>578.11111111111086</v>
      </c>
      <c r="P48" s="54">
        <f t="shared" si="22"/>
        <v>578.11111111111086</v>
      </c>
      <c r="Q48" s="65"/>
      <c r="R48" s="64"/>
    </row>
    <row r="49" spans="1:18" s="3" customFormat="1">
      <c r="A49" s="31" t="str">
        <f>IF(I49&lt;&gt;"",1+MAX($A$9:A48),"")</f>
        <v/>
      </c>
      <c r="B49" s="32"/>
      <c r="C49" s="32"/>
      <c r="D49" s="33"/>
      <c r="E49" s="95"/>
      <c r="F49" s="93"/>
      <c r="G49" s="36"/>
      <c r="H49" s="37"/>
      <c r="I49" s="100"/>
      <c r="J49" s="101"/>
      <c r="K49" s="52"/>
      <c r="L49" s="102"/>
      <c r="M49" s="58"/>
      <c r="N49" s="53"/>
      <c r="O49" s="53"/>
      <c r="P49" s="54"/>
      <c r="Q49" s="65"/>
      <c r="R49" s="64"/>
    </row>
    <row r="50" spans="1:18" s="3" customFormat="1">
      <c r="A50" s="31">
        <f>IF(I50&lt;&gt;"",1+MAX($A$9:A49),"")</f>
        <v>28</v>
      </c>
      <c r="B50" s="32"/>
      <c r="C50" s="32"/>
      <c r="D50" s="33"/>
      <c r="E50" s="94" t="s">
        <v>64</v>
      </c>
      <c r="F50" s="93">
        <f>(170.9*1)/27</f>
        <v>6.3296296296296299</v>
      </c>
      <c r="G50" s="36">
        <v>0.1</v>
      </c>
      <c r="H50" s="37">
        <f t="shared" ref="H50" si="29">(1+G50)*F50</f>
        <v>6.9625925925925936</v>
      </c>
      <c r="I50" s="100" t="s">
        <v>81</v>
      </c>
      <c r="J50" s="101">
        <v>225</v>
      </c>
      <c r="K50" s="52">
        <f t="shared" si="18"/>
        <v>1566.5833333333335</v>
      </c>
      <c r="L50" s="102">
        <v>2.0833333333333299</v>
      </c>
      <c r="M50" s="58">
        <f t="shared" si="19"/>
        <v>14.505401234567879</v>
      </c>
      <c r="N50" s="53">
        <f t="shared" si="20"/>
        <v>86</v>
      </c>
      <c r="O50" s="53">
        <f t="shared" si="21"/>
        <v>1247.4645061728377</v>
      </c>
      <c r="P50" s="54">
        <f t="shared" si="22"/>
        <v>2814.0478395061709</v>
      </c>
      <c r="Q50" s="65"/>
      <c r="R50" s="64"/>
    </row>
    <row r="51" spans="1:18" s="3" customFormat="1">
      <c r="A51" s="31" t="str">
        <f>IF(I51&lt;&gt;"",1+MAX($A$9:A50),"")</f>
        <v/>
      </c>
      <c r="B51" s="32"/>
      <c r="C51" s="32"/>
      <c r="D51" s="33"/>
      <c r="E51" s="94"/>
      <c r="F51" s="93"/>
      <c r="G51" s="36"/>
      <c r="H51" s="37"/>
      <c r="I51" s="100"/>
      <c r="J51" s="101"/>
      <c r="K51" s="52"/>
      <c r="L51" s="102"/>
      <c r="M51" s="58"/>
      <c r="N51" s="53"/>
      <c r="O51" s="53"/>
      <c r="P51" s="54"/>
      <c r="Q51" s="65"/>
      <c r="R51" s="64"/>
    </row>
    <row r="52" spans="1:18" s="3" customFormat="1">
      <c r="A52" s="31" t="str">
        <f>IF(I52&lt;&gt;"",1+MAX($A$9:A51),"")</f>
        <v/>
      </c>
      <c r="B52" s="32"/>
      <c r="C52" s="32"/>
      <c r="D52" s="33"/>
      <c r="E52" s="92" t="s">
        <v>65</v>
      </c>
      <c r="F52" s="93"/>
      <c r="G52" s="36"/>
      <c r="H52" s="37"/>
      <c r="I52" s="100"/>
      <c r="J52" s="101"/>
      <c r="K52" s="52"/>
      <c r="L52" s="102"/>
      <c r="M52" s="58"/>
      <c r="N52" s="53"/>
      <c r="O52" s="53"/>
      <c r="P52" s="54"/>
      <c r="Q52" s="65"/>
      <c r="R52" s="64"/>
    </row>
    <row r="53" spans="1:18" s="3" customFormat="1">
      <c r="A53" s="31">
        <f>IF(I53&lt;&gt;"",1+MAX($A$9:A52),"")</f>
        <v>29</v>
      </c>
      <c r="B53" s="32"/>
      <c r="C53" s="32"/>
      <c r="D53" s="33"/>
      <c r="E53" s="95" t="s">
        <v>66</v>
      </c>
      <c r="F53" s="93">
        <f>(118.7*1)/27</f>
        <v>4.3962962962962964</v>
      </c>
      <c r="G53" s="36">
        <v>0.1</v>
      </c>
      <c r="H53" s="37">
        <f t="shared" ref="H53" si="30">(1+G53)*F53</f>
        <v>4.8359259259259266</v>
      </c>
      <c r="I53" s="100" t="s">
        <v>81</v>
      </c>
      <c r="J53" s="101">
        <v>225</v>
      </c>
      <c r="K53" s="52">
        <f t="shared" si="18"/>
        <v>1088.0833333333335</v>
      </c>
      <c r="L53" s="102">
        <v>2.0833333333333299</v>
      </c>
      <c r="M53" s="58">
        <f t="shared" si="19"/>
        <v>10.074845679012331</v>
      </c>
      <c r="N53" s="53">
        <f t="shared" si="20"/>
        <v>86</v>
      </c>
      <c r="O53" s="53">
        <f t="shared" si="21"/>
        <v>866.43672839506041</v>
      </c>
      <c r="P53" s="54">
        <f t="shared" si="22"/>
        <v>1954.520061728394</v>
      </c>
      <c r="Q53" s="65"/>
      <c r="R53" s="64"/>
    </row>
    <row r="54" spans="1:18" s="3" customFormat="1">
      <c r="A54" s="31" t="str">
        <f>IF(I54&lt;&gt;"",1+MAX($A$9:A53),"")</f>
        <v/>
      </c>
      <c r="B54" s="32"/>
      <c r="C54" s="32"/>
      <c r="D54" s="33"/>
      <c r="E54" s="94"/>
      <c r="F54" s="93"/>
      <c r="G54" s="36"/>
      <c r="H54" s="37"/>
      <c r="I54" s="100"/>
      <c r="J54" s="101"/>
      <c r="K54" s="52"/>
      <c r="L54" s="102"/>
      <c r="M54" s="58"/>
      <c r="N54" s="53"/>
      <c r="O54" s="53"/>
      <c r="P54" s="54"/>
      <c r="Q54" s="65"/>
      <c r="R54" s="64"/>
    </row>
    <row r="55" spans="1:18" s="3" customFormat="1">
      <c r="A55" s="31">
        <f>IF(I55&lt;&gt;"",1+MAX($A$9:A54),"")</f>
        <v>30</v>
      </c>
      <c r="B55" s="32"/>
      <c r="C55" s="32"/>
      <c r="D55" s="33"/>
      <c r="E55" s="94" t="s">
        <v>67</v>
      </c>
      <c r="F55" s="93">
        <f>(36.09*1)</f>
        <v>36.090000000000003</v>
      </c>
      <c r="G55" s="36">
        <v>0.1</v>
      </c>
      <c r="H55" s="37">
        <f t="shared" ref="H55" si="31">(1+G55)*F55</f>
        <v>39.699000000000005</v>
      </c>
      <c r="I55" s="100" t="s">
        <v>82</v>
      </c>
      <c r="J55" s="101"/>
      <c r="K55" s="52">
        <f t="shared" si="18"/>
        <v>0</v>
      </c>
      <c r="L55" s="102">
        <v>3.4722222222222203E-2</v>
      </c>
      <c r="M55" s="58">
        <f t="shared" si="19"/>
        <v>1.3784374999999993</v>
      </c>
      <c r="N55" s="53">
        <f t="shared" si="20"/>
        <v>86</v>
      </c>
      <c r="O55" s="53">
        <f t="shared" si="21"/>
        <v>118.54562499999994</v>
      </c>
      <c r="P55" s="54">
        <f t="shared" si="22"/>
        <v>118.54562499999994</v>
      </c>
      <c r="Q55" s="65"/>
      <c r="R55" s="64"/>
    </row>
    <row r="56" spans="1:18" s="3" customFormat="1">
      <c r="A56" s="31" t="str">
        <f>IF(I56&lt;&gt;"",1+MAX($A$9:A55),"")</f>
        <v/>
      </c>
      <c r="B56" s="32"/>
      <c r="C56" s="32"/>
      <c r="D56" s="33"/>
      <c r="E56" s="95"/>
      <c r="F56" s="93"/>
      <c r="G56" s="36"/>
      <c r="H56" s="37"/>
      <c r="I56" s="100"/>
      <c r="J56" s="101"/>
      <c r="K56" s="52"/>
      <c r="L56" s="102"/>
      <c r="M56" s="58"/>
      <c r="N56" s="53"/>
      <c r="O56" s="53"/>
      <c r="P56" s="54"/>
      <c r="Q56" s="65"/>
      <c r="R56" s="64"/>
    </row>
    <row r="57" spans="1:18" s="3" customFormat="1" ht="31.5">
      <c r="A57" s="31">
        <f>IF(I57&lt;&gt;"",1+MAX($A$9:A56),"")</f>
        <v>31</v>
      </c>
      <c r="B57" s="32"/>
      <c r="C57" s="32"/>
      <c r="D57" s="33"/>
      <c r="E57" s="97" t="s">
        <v>68</v>
      </c>
      <c r="F57" s="93">
        <f>(36.09*4*1)/27</f>
        <v>5.3466666666666676</v>
      </c>
      <c r="G57" s="36">
        <v>0.1</v>
      </c>
      <c r="H57" s="37">
        <f t="shared" ref="H57" si="32">(1+G57)*F57</f>
        <v>5.8813333333333349</v>
      </c>
      <c r="I57" s="100" t="s">
        <v>81</v>
      </c>
      <c r="J57" s="101">
        <v>225</v>
      </c>
      <c r="K57" s="52">
        <f t="shared" si="18"/>
        <v>1323.3000000000004</v>
      </c>
      <c r="L57" s="102">
        <v>2.0833333333333299</v>
      </c>
      <c r="M57" s="58">
        <f t="shared" si="19"/>
        <v>12.25277777777776</v>
      </c>
      <c r="N57" s="53">
        <f t="shared" si="20"/>
        <v>86</v>
      </c>
      <c r="O57" s="53">
        <f t="shared" si="21"/>
        <v>1053.7388888888875</v>
      </c>
      <c r="P57" s="54">
        <f t="shared" si="22"/>
        <v>2377.0388888888879</v>
      </c>
      <c r="Q57" s="65"/>
      <c r="R57" s="64"/>
    </row>
    <row r="58" spans="1:18" s="3" customFormat="1">
      <c r="A58" s="31" t="str">
        <f>IF(I58&lt;&gt;"",1+MAX($A$9:A57),"")</f>
        <v/>
      </c>
      <c r="B58" s="32"/>
      <c r="C58" s="32"/>
      <c r="D58" s="33"/>
      <c r="E58" s="94"/>
      <c r="F58" s="93"/>
      <c r="G58" s="36"/>
      <c r="H58" s="37"/>
      <c r="I58" s="100"/>
      <c r="J58" s="101"/>
      <c r="K58" s="52"/>
      <c r="L58" s="102"/>
      <c r="M58" s="58"/>
      <c r="N58" s="53"/>
      <c r="O58" s="53"/>
      <c r="P58" s="54"/>
      <c r="Q58" s="65"/>
      <c r="R58" s="64"/>
    </row>
    <row r="59" spans="1:18" s="3" customFormat="1">
      <c r="A59" s="31">
        <f>IF(I59&lt;&gt;"",1+MAX($A$9:A58),"")</f>
        <v>32</v>
      </c>
      <c r="B59" s="32"/>
      <c r="C59" s="32"/>
      <c r="D59" s="33"/>
      <c r="E59" s="94" t="s">
        <v>69</v>
      </c>
      <c r="F59" s="93">
        <f>(36.09*4*2)</f>
        <v>288.72000000000003</v>
      </c>
      <c r="G59" s="36">
        <v>0.1</v>
      </c>
      <c r="H59" s="37">
        <f t="shared" ref="H59" si="33">(1+G59)*F59</f>
        <v>317.59200000000004</v>
      </c>
      <c r="I59" s="100" t="s">
        <v>82</v>
      </c>
      <c r="J59" s="101"/>
      <c r="K59" s="52">
        <f t="shared" si="18"/>
        <v>0</v>
      </c>
      <c r="L59" s="102">
        <v>3.4722222222222203E-2</v>
      </c>
      <c r="M59" s="58">
        <f t="shared" si="19"/>
        <v>11.027499999999995</v>
      </c>
      <c r="N59" s="53">
        <f t="shared" si="20"/>
        <v>86</v>
      </c>
      <c r="O59" s="53">
        <f t="shared" si="21"/>
        <v>948.36499999999955</v>
      </c>
      <c r="P59" s="54">
        <f t="shared" si="22"/>
        <v>948.36499999999955</v>
      </c>
      <c r="Q59" s="65"/>
      <c r="R59" s="64"/>
    </row>
    <row r="60" spans="1:18" s="3" customFormat="1">
      <c r="A60" s="31" t="str">
        <f>IF(I60&lt;&gt;"",1+MAX($A$9:A59),"")</f>
        <v/>
      </c>
      <c r="B60" s="32"/>
      <c r="C60" s="32"/>
      <c r="D60" s="33"/>
      <c r="E60" s="94"/>
      <c r="F60" s="93"/>
      <c r="G60" s="36"/>
      <c r="H60" s="37"/>
      <c r="I60" s="100"/>
      <c r="J60" s="101"/>
      <c r="K60" s="52"/>
      <c r="L60" s="102"/>
      <c r="M60" s="58"/>
      <c r="N60" s="53"/>
      <c r="O60" s="53"/>
      <c r="P60" s="54"/>
      <c r="Q60" s="65"/>
      <c r="R60" s="64"/>
    </row>
    <row r="61" spans="1:18" s="3" customFormat="1">
      <c r="A61" s="31" t="str">
        <f>IF(I61&lt;&gt;"",1+MAX($A$9:A60),"")</f>
        <v/>
      </c>
      <c r="B61" s="32"/>
      <c r="C61" s="32"/>
      <c r="D61" s="33"/>
      <c r="E61" s="92" t="s">
        <v>70</v>
      </c>
      <c r="F61" s="93"/>
      <c r="G61" s="36"/>
      <c r="H61" s="37"/>
      <c r="I61" s="100"/>
      <c r="J61" s="101"/>
      <c r="K61" s="52"/>
      <c r="L61" s="102"/>
      <c r="M61" s="58"/>
      <c r="N61" s="53"/>
      <c r="O61" s="53"/>
      <c r="P61" s="54"/>
      <c r="Q61" s="65"/>
      <c r="R61" s="64"/>
    </row>
    <row r="62" spans="1:18" s="3" customFormat="1">
      <c r="A62" s="31">
        <f>IF(I62&lt;&gt;"",1+MAX($A$9:A61),"")</f>
        <v>33</v>
      </c>
      <c r="B62" s="32"/>
      <c r="C62" s="32"/>
      <c r="D62" s="33"/>
      <c r="E62" s="95" t="s">
        <v>71</v>
      </c>
      <c r="F62" s="93">
        <f>(2646*0.43)/27</f>
        <v>42.14</v>
      </c>
      <c r="G62" s="36">
        <v>0.1</v>
      </c>
      <c r="H62" s="37">
        <f t="shared" ref="H62:H65" si="34">(1+G62)*F62</f>
        <v>46.354000000000006</v>
      </c>
      <c r="I62" s="100" t="s">
        <v>81</v>
      </c>
      <c r="J62" s="101">
        <v>225</v>
      </c>
      <c r="K62" s="52">
        <f t="shared" si="18"/>
        <v>10429.650000000001</v>
      </c>
      <c r="L62" s="102">
        <v>1.3888888888888899</v>
      </c>
      <c r="M62" s="58">
        <f t="shared" si="19"/>
        <v>64.380555555555617</v>
      </c>
      <c r="N62" s="53">
        <f t="shared" si="20"/>
        <v>86</v>
      </c>
      <c r="O62" s="53">
        <f t="shared" si="21"/>
        <v>5536.7277777777826</v>
      </c>
      <c r="P62" s="54">
        <f t="shared" si="22"/>
        <v>15966.377777777783</v>
      </c>
      <c r="Q62" s="65"/>
      <c r="R62" s="64"/>
    </row>
    <row r="63" spans="1:18" s="3" customFormat="1">
      <c r="A63" s="31">
        <f>IF(I63&lt;&gt;"",1+MAX($A$9:A62),"")</f>
        <v>34</v>
      </c>
      <c r="B63" s="32"/>
      <c r="C63" s="32"/>
      <c r="D63" s="33"/>
      <c r="E63" s="94" t="s">
        <v>72</v>
      </c>
      <c r="F63" s="93">
        <v>2646</v>
      </c>
      <c r="G63" s="36">
        <v>0.1</v>
      </c>
      <c r="H63" s="37">
        <f t="shared" si="34"/>
        <v>2910.6000000000004</v>
      </c>
      <c r="I63" s="100" t="s">
        <v>82</v>
      </c>
      <c r="J63" s="101">
        <v>0.34</v>
      </c>
      <c r="K63" s="52">
        <f t="shared" si="18"/>
        <v>989.60400000000016</v>
      </c>
      <c r="L63" s="102">
        <v>2.0833333333333298E-3</v>
      </c>
      <c r="M63" s="58">
        <f t="shared" si="19"/>
        <v>6.0637499999999909</v>
      </c>
      <c r="N63" s="53">
        <f t="shared" si="20"/>
        <v>86</v>
      </c>
      <c r="O63" s="53">
        <f t="shared" si="21"/>
        <v>521.48249999999916</v>
      </c>
      <c r="P63" s="54">
        <f t="shared" si="22"/>
        <v>1511.0864999999994</v>
      </c>
      <c r="Q63" s="65"/>
      <c r="R63" s="64"/>
    </row>
    <row r="64" spans="1:18" s="3" customFormat="1">
      <c r="A64" s="31">
        <f>IF(I64&lt;&gt;"",1+MAX($A$9:A63),"")</f>
        <v>35</v>
      </c>
      <c r="B64" s="32"/>
      <c r="C64" s="32"/>
      <c r="D64" s="33"/>
      <c r="E64" s="94" t="s">
        <v>52</v>
      </c>
      <c r="F64" s="93">
        <v>2646</v>
      </c>
      <c r="G64" s="36">
        <v>0.1</v>
      </c>
      <c r="H64" s="37">
        <f t="shared" si="34"/>
        <v>2910.6000000000004</v>
      </c>
      <c r="I64" s="100" t="s">
        <v>82</v>
      </c>
      <c r="J64" s="101">
        <v>6.3E-2</v>
      </c>
      <c r="K64" s="52">
        <f t="shared" si="18"/>
        <v>183.36780000000002</v>
      </c>
      <c r="L64" s="102">
        <v>1.38888888888889E-3</v>
      </c>
      <c r="M64" s="58">
        <f t="shared" si="19"/>
        <v>4.042500000000004</v>
      </c>
      <c r="N64" s="53">
        <f t="shared" si="20"/>
        <v>86</v>
      </c>
      <c r="O64" s="53">
        <f t="shared" si="21"/>
        <v>347.65500000000031</v>
      </c>
      <c r="P64" s="54">
        <f t="shared" si="22"/>
        <v>531.0228000000003</v>
      </c>
      <c r="Q64" s="65"/>
      <c r="R64" s="64"/>
    </row>
    <row r="65" spans="1:25" s="3" customFormat="1">
      <c r="A65" s="31">
        <f>IF(I65&lt;&gt;"",1+MAX($A$9:A64),"")</f>
        <v>36</v>
      </c>
      <c r="B65" s="32"/>
      <c r="C65" s="32"/>
      <c r="D65" s="33"/>
      <c r="E65" s="94" t="s">
        <v>73</v>
      </c>
      <c r="F65" s="93">
        <v>2646</v>
      </c>
      <c r="G65" s="36">
        <v>0.1</v>
      </c>
      <c r="H65" s="37">
        <f t="shared" si="34"/>
        <v>2910.6000000000004</v>
      </c>
      <c r="I65" s="100" t="s">
        <v>82</v>
      </c>
      <c r="J65" s="101"/>
      <c r="K65" s="52">
        <f t="shared" si="18"/>
        <v>0</v>
      </c>
      <c r="L65" s="102">
        <v>3.4722222222222199E-3</v>
      </c>
      <c r="M65" s="58">
        <f t="shared" si="19"/>
        <v>10.106249999999994</v>
      </c>
      <c r="N65" s="53">
        <f t="shared" si="20"/>
        <v>86</v>
      </c>
      <c r="O65" s="53">
        <f t="shared" si="21"/>
        <v>869.13749999999948</v>
      </c>
      <c r="P65" s="54">
        <f t="shared" si="22"/>
        <v>869.13749999999948</v>
      </c>
      <c r="Q65" s="65"/>
      <c r="R65" s="64"/>
    </row>
    <row r="66" spans="1:25" s="3" customFormat="1">
      <c r="A66" s="31" t="str">
        <f>IF(I66&lt;&gt;"",1+MAX($A$9:A65),"")</f>
        <v/>
      </c>
      <c r="B66" s="32"/>
      <c r="C66" s="32"/>
      <c r="D66" s="33"/>
      <c r="E66" s="94"/>
      <c r="F66" s="93"/>
      <c r="G66" s="36"/>
      <c r="H66" s="37"/>
      <c r="I66" s="100"/>
      <c r="J66" s="101"/>
      <c r="K66" s="52"/>
      <c r="L66" s="102"/>
      <c r="M66" s="58"/>
      <c r="N66" s="53"/>
      <c r="O66" s="53"/>
      <c r="P66" s="54"/>
      <c r="Q66" s="65"/>
      <c r="R66" s="64"/>
    </row>
    <row r="67" spans="1:25" s="3" customFormat="1">
      <c r="A67" s="31">
        <f>IF(I67&lt;&gt;"",1+MAX($A$9:A66),"")</f>
        <v>37</v>
      </c>
      <c r="B67" s="32"/>
      <c r="C67" s="32"/>
      <c r="D67" s="33"/>
      <c r="E67" s="95" t="s">
        <v>74</v>
      </c>
      <c r="F67" s="93">
        <f>(250*0.43)</f>
        <v>107.5</v>
      </c>
      <c r="G67" s="36">
        <v>0.1</v>
      </c>
      <c r="H67" s="37">
        <f t="shared" ref="H67" si="35">(1+G67)*F67</f>
        <v>118.25000000000001</v>
      </c>
      <c r="I67" s="100" t="s">
        <v>82</v>
      </c>
      <c r="J67" s="101"/>
      <c r="K67" s="52">
        <f t="shared" si="18"/>
        <v>0</v>
      </c>
      <c r="L67" s="102">
        <v>3.4722222222222203E-2</v>
      </c>
      <c r="M67" s="58">
        <f t="shared" si="19"/>
        <v>4.1059027777777759</v>
      </c>
      <c r="N67" s="53">
        <f t="shared" si="20"/>
        <v>86</v>
      </c>
      <c r="O67" s="53">
        <f t="shared" si="21"/>
        <v>353.10763888888874</v>
      </c>
      <c r="P67" s="54">
        <f t="shared" si="22"/>
        <v>353.10763888888874</v>
      </c>
      <c r="Q67" s="65"/>
      <c r="R67" s="64"/>
    </row>
    <row r="68" spans="1:25" s="3" customFormat="1">
      <c r="A68" s="31" t="str">
        <f>IF(I68&lt;&gt;"",1+MAX($A$9:A67),"")</f>
        <v/>
      </c>
      <c r="B68" s="32"/>
      <c r="C68" s="32"/>
      <c r="D68" s="33"/>
      <c r="E68" s="94"/>
      <c r="F68" s="93"/>
      <c r="G68" s="36"/>
      <c r="H68" s="37"/>
      <c r="I68" s="100"/>
      <c r="J68" s="101"/>
      <c r="K68" s="52"/>
      <c r="L68" s="102"/>
      <c r="M68" s="58"/>
      <c r="N68" s="53"/>
      <c r="O68" s="53"/>
      <c r="P68" s="54"/>
      <c r="Q68" s="65"/>
      <c r="R68" s="64"/>
    </row>
    <row r="69" spans="1:25" s="3" customFormat="1" ht="31.5">
      <c r="A69" s="31">
        <f>IF(I69&lt;&gt;"",1+MAX($A$9:A68),"")</f>
        <v>38</v>
      </c>
      <c r="B69" s="32"/>
      <c r="C69" s="32"/>
      <c r="D69" s="33"/>
      <c r="E69" s="98" t="s">
        <v>75</v>
      </c>
      <c r="F69" s="93">
        <f>(84.2*0.33)/27</f>
        <v>1.0291111111111111</v>
      </c>
      <c r="G69" s="36">
        <v>0.1</v>
      </c>
      <c r="H69" s="37">
        <f t="shared" ref="H69" si="36">(1+G69)*F69</f>
        <v>1.1320222222222223</v>
      </c>
      <c r="I69" s="100" t="s">
        <v>81</v>
      </c>
      <c r="J69" s="101">
        <v>225</v>
      </c>
      <c r="K69" s="52">
        <f t="shared" si="18"/>
        <v>254.70500000000001</v>
      </c>
      <c r="L69" s="102">
        <v>6.94444444444445</v>
      </c>
      <c r="M69" s="58">
        <f t="shared" si="19"/>
        <v>7.8612654320987723</v>
      </c>
      <c r="N69" s="53">
        <f t="shared" si="20"/>
        <v>86</v>
      </c>
      <c r="O69" s="53">
        <f t="shared" si="21"/>
        <v>676.06882716049438</v>
      </c>
      <c r="P69" s="54">
        <f t="shared" si="22"/>
        <v>930.77382716049442</v>
      </c>
      <c r="Q69" s="65"/>
      <c r="R69" s="64"/>
    </row>
    <row r="70" spans="1:25" s="3" customFormat="1">
      <c r="A70" s="31" t="str">
        <f>IF(I70&lt;&gt;"",1+MAX($A$9:A69),"")</f>
        <v/>
      </c>
      <c r="B70" s="32"/>
      <c r="C70" s="32"/>
      <c r="D70" s="33"/>
      <c r="E70" s="95"/>
      <c r="F70" s="93"/>
      <c r="G70" s="36"/>
      <c r="H70" s="37"/>
      <c r="I70" s="100"/>
      <c r="J70" s="101"/>
      <c r="K70" s="52"/>
      <c r="L70" s="102"/>
      <c r="M70" s="58"/>
      <c r="N70" s="53"/>
      <c r="O70" s="53"/>
      <c r="P70" s="54"/>
      <c r="Q70" s="65"/>
      <c r="R70" s="64"/>
    </row>
    <row r="71" spans="1:25" s="3" customFormat="1">
      <c r="A71" s="31">
        <f>IF(I71&lt;&gt;"",1+MAX($A$9:A70),"")</f>
        <v>39</v>
      </c>
      <c r="B71" s="32"/>
      <c r="C71" s="32"/>
      <c r="D71" s="33"/>
      <c r="E71" s="95" t="s">
        <v>76</v>
      </c>
      <c r="F71" s="93">
        <f>(35+16)*0.43</f>
        <v>21.93</v>
      </c>
      <c r="G71" s="36">
        <v>0.1</v>
      </c>
      <c r="H71" s="37">
        <f t="shared" ref="H71" si="37">(1+G71)*F71</f>
        <v>24.123000000000001</v>
      </c>
      <c r="I71" s="100" t="s">
        <v>82</v>
      </c>
      <c r="J71" s="101"/>
      <c r="K71" s="52">
        <f t="shared" si="18"/>
        <v>0</v>
      </c>
      <c r="L71" s="102">
        <v>3.4722222222222203E-2</v>
      </c>
      <c r="M71" s="58">
        <f t="shared" si="19"/>
        <v>0.83760416666666626</v>
      </c>
      <c r="N71" s="53">
        <f t="shared" si="20"/>
        <v>86</v>
      </c>
      <c r="O71" s="53">
        <f t="shared" si="21"/>
        <v>72.033958333333302</v>
      </c>
      <c r="P71" s="54">
        <f t="shared" si="22"/>
        <v>72.033958333333302</v>
      </c>
      <c r="Q71" s="65"/>
      <c r="R71" s="64"/>
    </row>
    <row r="72" spans="1:25" s="3" customFormat="1">
      <c r="A72" s="31" t="str">
        <f>IF(I72&lt;&gt;"",1+MAX($A$9:A71),"")</f>
        <v/>
      </c>
      <c r="B72" s="32"/>
      <c r="C72" s="32"/>
      <c r="D72" s="33"/>
      <c r="E72" s="95"/>
      <c r="F72" s="93"/>
      <c r="G72" s="36"/>
      <c r="H72" s="37"/>
      <c r="I72" s="100"/>
      <c r="J72" s="101"/>
      <c r="K72" s="52"/>
      <c r="L72" s="102"/>
      <c r="M72" s="58"/>
      <c r="N72" s="53"/>
      <c r="O72" s="53"/>
      <c r="P72" s="54"/>
      <c r="Q72" s="65"/>
      <c r="R72" s="64"/>
    </row>
    <row r="73" spans="1:25" s="3" customFormat="1" ht="31.5">
      <c r="A73" s="31">
        <f>IF(I73&lt;&gt;"",1+MAX($A$9:A72),"")</f>
        <v>40</v>
      </c>
      <c r="B73" s="32"/>
      <c r="C73" s="32"/>
      <c r="D73" s="33"/>
      <c r="E73" s="98" t="s">
        <v>77</v>
      </c>
      <c r="F73" s="93">
        <f>(85.54*0.677)/27</f>
        <v>2.1448362962962966</v>
      </c>
      <c r="G73" s="36">
        <v>0.1</v>
      </c>
      <c r="H73" s="37">
        <f t="shared" ref="H73" si="38">(1+G73)*F73</f>
        <v>2.3593199259259263</v>
      </c>
      <c r="I73" s="100" t="s">
        <v>81</v>
      </c>
      <c r="J73" s="101">
        <v>225</v>
      </c>
      <c r="K73" s="52">
        <f t="shared" si="18"/>
        <v>530.84698333333347</v>
      </c>
      <c r="L73" s="102">
        <v>2.7777777777777799</v>
      </c>
      <c r="M73" s="58">
        <f t="shared" si="19"/>
        <v>6.5536664609053563</v>
      </c>
      <c r="N73" s="53">
        <f t="shared" si="20"/>
        <v>86</v>
      </c>
      <c r="O73" s="53">
        <f t="shared" si="21"/>
        <v>563.61531563786059</v>
      </c>
      <c r="P73" s="54">
        <f t="shared" si="22"/>
        <v>1094.4622989711941</v>
      </c>
      <c r="Q73" s="65"/>
      <c r="R73" s="64"/>
    </row>
    <row r="74" spans="1:25" s="3" customFormat="1">
      <c r="A74" s="31" t="str">
        <f>IF(I74&lt;&gt;"",1+MAX($A$9:A73),"")</f>
        <v/>
      </c>
      <c r="B74" s="32"/>
      <c r="C74" s="32"/>
      <c r="D74" s="33"/>
      <c r="E74" s="94"/>
      <c r="F74" s="93"/>
      <c r="G74" s="36"/>
      <c r="H74" s="37"/>
      <c r="I74" s="100"/>
      <c r="J74" s="101"/>
      <c r="K74" s="52"/>
      <c r="L74" s="102"/>
      <c r="M74" s="58"/>
      <c r="N74" s="53"/>
      <c r="O74" s="53"/>
      <c r="P74" s="54"/>
      <c r="Q74" s="65"/>
      <c r="R74" s="64"/>
    </row>
    <row r="75" spans="1:25" s="3" customFormat="1" ht="31.5">
      <c r="A75" s="31">
        <f>IF(I75&lt;&gt;"",1+MAX($A$9:A74),"")</f>
        <v>41</v>
      </c>
      <c r="B75" s="32"/>
      <c r="C75" s="32"/>
      <c r="D75" s="33"/>
      <c r="E75" s="98" t="s">
        <v>78</v>
      </c>
      <c r="F75" s="93">
        <f>(24.13/2)*2*1.043</f>
        <v>25.167589999999997</v>
      </c>
      <c r="G75" s="36">
        <v>0.1</v>
      </c>
      <c r="H75" s="37">
        <f t="shared" ref="H75" si="39">(1+G75)*F75</f>
        <v>27.684348999999997</v>
      </c>
      <c r="I75" s="100" t="s">
        <v>83</v>
      </c>
      <c r="J75" s="101">
        <v>0.93</v>
      </c>
      <c r="K75" s="52">
        <f t="shared" si="18"/>
        <v>25.746444569999998</v>
      </c>
      <c r="L75" s="102">
        <v>1.38888888888889E-2</v>
      </c>
      <c r="M75" s="58">
        <f t="shared" si="19"/>
        <v>0.3845048472222225</v>
      </c>
      <c r="N75" s="53">
        <f t="shared" si="20"/>
        <v>86</v>
      </c>
      <c r="O75" s="53">
        <f t="shared" si="21"/>
        <v>33.067416861111134</v>
      </c>
      <c r="P75" s="54">
        <f t="shared" si="22"/>
        <v>58.813861431111135</v>
      </c>
      <c r="Q75" s="65"/>
      <c r="R75" s="64"/>
    </row>
    <row r="76" spans="1:25" s="3" customFormat="1">
      <c r="A76" s="31" t="str">
        <f>IF(I76&lt;&gt;"",1+MAX($A$9:A75),"")</f>
        <v/>
      </c>
      <c r="B76" s="32"/>
      <c r="C76" s="32"/>
      <c r="D76" s="33"/>
      <c r="E76" s="98"/>
      <c r="F76" s="93"/>
      <c r="G76" s="36"/>
      <c r="H76" s="37"/>
      <c r="I76" s="100"/>
      <c r="J76" s="52"/>
      <c r="K76" s="52"/>
      <c r="L76" s="102"/>
      <c r="M76" s="58"/>
      <c r="N76" s="53"/>
      <c r="O76" s="53"/>
      <c r="P76" s="54"/>
      <c r="Q76" s="65"/>
      <c r="R76" s="64"/>
    </row>
    <row r="77" spans="1:25" s="3" customFormat="1" ht="31.5">
      <c r="A77" s="31">
        <f>IF(I77&lt;&gt;"",1+MAX($A$9:A76),"")</f>
        <v>42</v>
      </c>
      <c r="B77" s="32"/>
      <c r="C77" s="32"/>
      <c r="D77" s="33"/>
      <c r="E77" s="98" t="s">
        <v>79</v>
      </c>
      <c r="F77" s="93">
        <v>62.85</v>
      </c>
      <c r="G77" s="36">
        <v>0.1</v>
      </c>
      <c r="H77" s="37">
        <f t="shared" ref="H77" si="40">(1+G77)*F77</f>
        <v>69.135000000000005</v>
      </c>
      <c r="I77" s="100" t="s">
        <v>84</v>
      </c>
      <c r="J77" s="52">
        <v>0</v>
      </c>
      <c r="K77" s="52">
        <f t="shared" si="18"/>
        <v>0</v>
      </c>
      <c r="L77" s="102">
        <v>9.1666666666666702E-2</v>
      </c>
      <c r="M77" s="58">
        <f t="shared" si="19"/>
        <v>6.3373750000000033</v>
      </c>
      <c r="N77" s="53">
        <f t="shared" si="20"/>
        <v>86</v>
      </c>
      <c r="O77" s="53">
        <f t="shared" si="21"/>
        <v>545.01425000000029</v>
      </c>
      <c r="P77" s="54">
        <f t="shared" si="22"/>
        <v>545.01425000000029</v>
      </c>
      <c r="Q77" s="65"/>
      <c r="R77" s="64"/>
    </row>
    <row r="78" spans="1:25" s="3" customFormat="1">
      <c r="A78" s="31" t="str">
        <f>IF(I78&lt;&gt;"",1+MAX($A$9:A77),"")</f>
        <v/>
      </c>
      <c r="B78" s="32"/>
      <c r="C78" s="32"/>
      <c r="D78" s="33"/>
      <c r="E78" s="96" t="s">
        <v>34</v>
      </c>
      <c r="F78" s="93"/>
      <c r="G78" s="36"/>
      <c r="H78" s="37"/>
      <c r="I78" s="100"/>
      <c r="J78" s="52"/>
      <c r="K78" s="52"/>
      <c r="L78" s="102"/>
      <c r="M78" s="58"/>
      <c r="N78" s="53"/>
      <c r="O78" s="53"/>
      <c r="P78" s="54"/>
      <c r="Q78" s="65"/>
      <c r="R78" s="64"/>
    </row>
    <row r="79" spans="1:25" s="3" customFormat="1">
      <c r="A79" s="31">
        <f>IF(I79&lt;&gt;"",1+MAX($A$9:A78),"")</f>
        <v>43</v>
      </c>
      <c r="B79" s="32"/>
      <c r="C79" s="32"/>
      <c r="D79" s="33"/>
      <c r="E79" s="99" t="s">
        <v>80</v>
      </c>
      <c r="F79" s="93">
        <v>1</v>
      </c>
      <c r="G79" s="36">
        <v>0.1</v>
      </c>
      <c r="H79" s="37">
        <f t="shared" ref="H79" si="41">(1+G79)*F79</f>
        <v>1.1000000000000001</v>
      </c>
      <c r="I79" s="100" t="s">
        <v>27</v>
      </c>
      <c r="J79" s="52">
        <v>0</v>
      </c>
      <c r="K79" s="52">
        <f t="shared" si="18"/>
        <v>0</v>
      </c>
      <c r="L79" s="102">
        <v>25</v>
      </c>
      <c r="M79" s="58">
        <f t="shared" si="19"/>
        <v>27.500000000000004</v>
      </c>
      <c r="N79" s="53">
        <f t="shared" si="20"/>
        <v>86</v>
      </c>
      <c r="O79" s="53">
        <f t="shared" si="21"/>
        <v>2365.0000000000005</v>
      </c>
      <c r="P79" s="54">
        <f t="shared" si="22"/>
        <v>2365.0000000000005</v>
      </c>
      <c r="Q79" s="65"/>
      <c r="R79" s="64"/>
    </row>
    <row r="80" spans="1:25" ht="16.5" thickBot="1">
      <c r="A80" s="105" t="s">
        <v>1</v>
      </c>
      <c r="B80" s="106"/>
      <c r="C80" s="66"/>
      <c r="D80" s="67"/>
      <c r="E80" s="68"/>
      <c r="F80" s="69"/>
      <c r="G80" s="70"/>
      <c r="H80" s="69"/>
      <c r="I80" s="66"/>
      <c r="J80" s="79"/>
      <c r="K80" s="79"/>
      <c r="L80" s="79"/>
      <c r="M80" s="79"/>
      <c r="N80" s="79"/>
      <c r="O80" s="80"/>
      <c r="P80" s="80">
        <f>SUM(P9:P79)</f>
        <v>58367.460502020418</v>
      </c>
      <c r="Q80" s="80">
        <f>SUM(Q9:Q79)</f>
        <v>95867.460502020418</v>
      </c>
      <c r="R80" s="90"/>
      <c r="S80" s="90"/>
      <c r="T80" s="90"/>
      <c r="U80" s="90"/>
      <c r="V80" s="90"/>
      <c r="W80" s="90"/>
      <c r="X80" s="90"/>
      <c r="Y80" s="90"/>
    </row>
    <row r="81" spans="1:25" ht="17.25" thickTop="1" thickBot="1">
      <c r="A81" s="107" t="s">
        <v>2</v>
      </c>
      <c r="B81" s="108"/>
      <c r="C81" s="73"/>
      <c r="D81" s="74"/>
      <c r="E81" s="75"/>
      <c r="F81" s="76"/>
      <c r="G81" s="77"/>
      <c r="H81" s="76"/>
      <c r="I81" s="73"/>
      <c r="J81" s="81">
        <v>0</v>
      </c>
      <c r="K81" s="81"/>
      <c r="L81" s="81"/>
      <c r="M81" s="81"/>
      <c r="N81" s="81"/>
      <c r="O81" s="82"/>
      <c r="P81" s="82">
        <f>P80*J81</f>
        <v>0</v>
      </c>
      <c r="Q81" s="91">
        <f>Q80*J81</f>
        <v>0</v>
      </c>
      <c r="R81" s="90"/>
      <c r="S81" s="90"/>
      <c r="T81" s="90"/>
      <c r="U81" s="90"/>
      <c r="V81" s="90"/>
      <c r="W81" s="90"/>
      <c r="X81" s="90"/>
      <c r="Y81" s="90"/>
    </row>
    <row r="82" spans="1:25" ht="17.25" thickTop="1" thickBot="1">
      <c r="A82" s="71" t="s">
        <v>3</v>
      </c>
      <c r="B82" s="72"/>
      <c r="C82" s="78"/>
      <c r="D82" s="74"/>
      <c r="E82" s="75"/>
      <c r="F82" s="76"/>
      <c r="G82" s="77"/>
      <c r="H82" s="76"/>
      <c r="I82" s="73"/>
      <c r="J82" s="81">
        <v>0.2</v>
      </c>
      <c r="K82" s="81"/>
      <c r="L82" s="81"/>
      <c r="M82" s="81"/>
      <c r="N82" s="81"/>
      <c r="O82" s="82"/>
      <c r="P82" s="82">
        <f>P80*J82</f>
        <v>11673.492100404084</v>
      </c>
      <c r="Q82" s="91">
        <f>Q80*J82</f>
        <v>19173.492100404084</v>
      </c>
      <c r="R82" s="90"/>
      <c r="S82" s="90"/>
      <c r="T82" s="90"/>
      <c r="U82" s="90"/>
      <c r="V82" s="90"/>
      <c r="W82" s="90"/>
      <c r="X82" s="90"/>
      <c r="Y82" s="90"/>
    </row>
    <row r="83" spans="1:25" ht="17.25" thickTop="1" thickBot="1">
      <c r="A83" s="71" t="s">
        <v>42</v>
      </c>
      <c r="B83" s="72"/>
      <c r="C83" s="78"/>
      <c r="D83" s="74"/>
      <c r="E83" s="75"/>
      <c r="F83" s="76"/>
      <c r="G83" s="77"/>
      <c r="H83" s="76"/>
      <c r="I83" s="73"/>
      <c r="J83" s="81">
        <v>0</v>
      </c>
      <c r="K83" s="81"/>
      <c r="L83" s="81"/>
      <c r="M83" s="81"/>
      <c r="N83" s="81"/>
      <c r="O83" s="83"/>
      <c r="P83" s="82">
        <f>P80*J83</f>
        <v>0</v>
      </c>
      <c r="Q83" s="91">
        <f>Q80*J83</f>
        <v>0</v>
      </c>
      <c r="R83" s="90"/>
      <c r="S83" s="90"/>
      <c r="T83" s="90"/>
      <c r="U83" s="90"/>
      <c r="V83" s="90"/>
      <c r="W83" s="90"/>
      <c r="X83" s="90"/>
      <c r="Y83" s="90"/>
    </row>
    <row r="84" spans="1:25" ht="17.25" thickTop="1" thickBot="1">
      <c r="A84" s="107" t="s">
        <v>43</v>
      </c>
      <c r="B84" s="108"/>
      <c r="C84" s="73"/>
      <c r="D84" s="74"/>
      <c r="E84" s="75"/>
      <c r="F84" s="76"/>
      <c r="G84" s="77"/>
      <c r="H84" s="76"/>
      <c r="I84" s="73"/>
      <c r="J84" s="84"/>
      <c r="K84" s="84"/>
      <c r="L84" s="84"/>
      <c r="M84" s="84"/>
      <c r="N84" s="84"/>
      <c r="O84" s="82"/>
      <c r="P84" s="82">
        <f>P80*J84</f>
        <v>0</v>
      </c>
      <c r="Q84" s="91">
        <f>SUM(Q80:Q83)</f>
        <v>115040.9526024245</v>
      </c>
    </row>
    <row r="85" spans="1:25" ht="19.5" thickTop="1">
      <c r="M85" s="85">
        <f>SUM(M26:M79)</f>
        <v>354.69473322170774</v>
      </c>
      <c r="N85" s="86" t="s">
        <v>44</v>
      </c>
    </row>
    <row r="86" spans="1:25" ht="18">
      <c r="M86" s="87">
        <v>4</v>
      </c>
      <c r="N86" s="88" t="s">
        <v>45</v>
      </c>
    </row>
    <row r="87" spans="1:25" ht="18">
      <c r="M87" s="89">
        <f>M85/M86/8</f>
        <v>11.084210413178367</v>
      </c>
      <c r="N87" s="88" t="s">
        <v>46</v>
      </c>
    </row>
    <row r="88" spans="1:25" ht="18">
      <c r="M88" s="89">
        <f>M87/20</f>
        <v>0.55421052065891829</v>
      </c>
      <c r="N88" s="88" t="s">
        <v>47</v>
      </c>
    </row>
  </sheetData>
  <sortState xmlns:xlrd2="http://schemas.microsoft.com/office/spreadsheetml/2017/richdata2" ref="E492:L508">
    <sortCondition ref="E492"/>
  </sortState>
  <mergeCells count="4">
    <mergeCell ref="A1:Q1"/>
    <mergeCell ref="A80:B80"/>
    <mergeCell ref="A81:B81"/>
    <mergeCell ref="A84:B84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landscape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H</dc:creator>
  <cp:lastModifiedBy>zeeshan meraj</cp:lastModifiedBy>
  <cp:lastPrinted>2026-06-09T17:21:25Z</cp:lastPrinted>
  <dcterms:created xsi:type="dcterms:W3CDTF">2013-07-08T09:36:00Z</dcterms:created>
  <dcterms:modified xsi:type="dcterms:W3CDTF">2026-06-09T17:21:31Z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1033-12.2.0.23196</vt:lpwstr>
  </property>
</Properties>
</file>