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8_{5042AEEB-05A6-40D4-9528-7018F4879133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DETAIL" sheetId="11" r:id="rId1"/>
  </sheets>
  <definedNames>
    <definedName name="_xlnm._FilterDatabase" localSheetId="0" hidden="1">DETAIL!$N$53:$N$463</definedName>
    <definedName name="_xlnm.Print_Area" localSheetId="0">DETAIL!$A$1:$O$463</definedName>
    <definedName name="_xlnm.Print_Titles" localSheetId="0">DETAIL!$39:$39</definedName>
  </definedNames>
  <calcPr calcId="181029"/>
</workbook>
</file>

<file path=xl/calcChain.xml><?xml version="1.0" encoding="utf-8"?>
<calcChain xmlns="http://schemas.openxmlformats.org/spreadsheetml/2006/main">
  <c r="O53" i="11" l="1"/>
  <c r="K455" i="11"/>
  <c r="J455" i="11"/>
  <c r="K453" i="11"/>
  <c r="J453" i="11"/>
  <c r="K452" i="11"/>
  <c r="J452" i="11"/>
  <c r="K448" i="11"/>
  <c r="J448" i="11"/>
  <c r="K447" i="11"/>
  <c r="J447" i="11"/>
  <c r="K444" i="11"/>
  <c r="J444" i="11"/>
  <c r="K445" i="11"/>
  <c r="J445" i="11"/>
  <c r="K441" i="11"/>
  <c r="J441" i="11"/>
  <c r="K434" i="11"/>
  <c r="J434" i="11"/>
  <c r="K439" i="11"/>
  <c r="J439" i="11"/>
  <c r="K438" i="11"/>
  <c r="J438" i="11"/>
  <c r="K433" i="11"/>
  <c r="J433" i="11"/>
  <c r="K431" i="11"/>
  <c r="J431" i="11"/>
  <c r="K430" i="11"/>
  <c r="J430" i="11"/>
  <c r="K429" i="11"/>
  <c r="J429" i="11"/>
  <c r="K424" i="11"/>
  <c r="J424" i="11"/>
  <c r="K423" i="11"/>
  <c r="J423" i="11"/>
  <c r="K418" i="11"/>
  <c r="J418" i="11"/>
  <c r="K417" i="11"/>
  <c r="J417" i="11"/>
  <c r="K426" i="11"/>
  <c r="J426" i="11"/>
  <c r="K420" i="11"/>
  <c r="J420" i="11"/>
  <c r="K414" i="11"/>
  <c r="J414" i="11"/>
  <c r="K412" i="11"/>
  <c r="J412" i="11"/>
  <c r="K411" i="11"/>
  <c r="J411" i="11"/>
  <c r="K408" i="11"/>
  <c r="J408" i="11"/>
  <c r="K406" i="11"/>
  <c r="J406" i="11"/>
  <c r="K405" i="11"/>
  <c r="J405" i="11"/>
  <c r="K402" i="11"/>
  <c r="J402" i="11"/>
  <c r="K400" i="11"/>
  <c r="J400" i="11"/>
  <c r="K399" i="11"/>
  <c r="J399" i="11"/>
  <c r="K397" i="11"/>
  <c r="J397" i="11"/>
  <c r="K396" i="11"/>
  <c r="J396" i="11"/>
  <c r="J451" i="11"/>
  <c r="J443" i="11"/>
  <c r="J437" i="11"/>
  <c r="J428" i="11"/>
  <c r="J422" i="11"/>
  <c r="J416" i="11"/>
  <c r="J410" i="11"/>
  <c r="J404" i="11"/>
  <c r="J395" i="11"/>
  <c r="K382" i="11"/>
  <c r="J382" i="11"/>
  <c r="K328" i="11"/>
  <c r="J328" i="11"/>
  <c r="K318" i="11"/>
  <c r="J318" i="11"/>
  <c r="K308" i="11"/>
  <c r="J308" i="11"/>
  <c r="K297" i="11"/>
  <c r="J297" i="11"/>
  <c r="K454" i="11"/>
  <c r="J454" i="11"/>
  <c r="K449" i="11"/>
  <c r="J449" i="11"/>
  <c r="K440" i="11"/>
  <c r="J440" i="11"/>
  <c r="K435" i="11"/>
  <c r="J435" i="11"/>
  <c r="K425" i="11"/>
  <c r="J425" i="11"/>
  <c r="K419" i="11"/>
  <c r="J419" i="11"/>
  <c r="K413" i="11"/>
  <c r="J413" i="11"/>
  <c r="K407" i="11"/>
  <c r="J407" i="11"/>
  <c r="K381" i="11"/>
  <c r="J381" i="11"/>
  <c r="K372" i="11"/>
  <c r="J372" i="11"/>
  <c r="K356" i="11"/>
  <c r="J356" i="11"/>
  <c r="K349" i="11"/>
  <c r="J349" i="11"/>
  <c r="K336" i="11"/>
  <c r="J336" i="11"/>
  <c r="K327" i="11"/>
  <c r="J327" i="11"/>
  <c r="K317" i="11"/>
  <c r="J317" i="11"/>
  <c r="K307" i="11"/>
  <c r="J307" i="11"/>
  <c r="K296" i="11"/>
  <c r="J296" i="11"/>
  <c r="K389" i="11"/>
  <c r="J389" i="11"/>
  <c r="K380" i="11"/>
  <c r="J380" i="11"/>
  <c r="K371" i="11"/>
  <c r="J371" i="11"/>
  <c r="K363" i="11"/>
  <c r="J363" i="11"/>
  <c r="K355" i="11"/>
  <c r="J355" i="11"/>
  <c r="K348" i="11"/>
  <c r="J348" i="11"/>
  <c r="K342" i="11"/>
  <c r="J342" i="11"/>
  <c r="K335" i="11"/>
  <c r="J335" i="11"/>
  <c r="K326" i="11"/>
  <c r="J326" i="11"/>
  <c r="K316" i="11"/>
  <c r="J316" i="11"/>
  <c r="K306" i="11"/>
  <c r="J306" i="11"/>
  <c r="K295" i="11"/>
  <c r="J295" i="11"/>
  <c r="K446" i="11"/>
  <c r="J446" i="11"/>
  <c r="K432" i="11"/>
  <c r="J432" i="11"/>
  <c r="K398" i="11"/>
  <c r="J398" i="11"/>
  <c r="K391" i="11"/>
  <c r="J391" i="11"/>
  <c r="K379" i="11"/>
  <c r="J379" i="11"/>
  <c r="K370" i="11"/>
  <c r="J370" i="11"/>
  <c r="K362" i="11"/>
  <c r="J362" i="11"/>
  <c r="K361" i="11"/>
  <c r="J361" i="11"/>
  <c r="K341" i="11"/>
  <c r="J341" i="11"/>
  <c r="K325" i="11"/>
  <c r="J325" i="11"/>
  <c r="K315" i="11"/>
  <c r="J315" i="11"/>
  <c r="K305" i="11"/>
  <c r="J305" i="11"/>
  <c r="K294" i="11"/>
  <c r="J294" i="11"/>
  <c r="J390" i="11"/>
  <c r="J378" i="11"/>
  <c r="J369" i="11"/>
  <c r="J360" i="11"/>
  <c r="J340" i="11"/>
  <c r="J324" i="11"/>
  <c r="J314" i="11"/>
  <c r="J304" i="11"/>
  <c r="J293" i="11"/>
  <c r="K388" i="11"/>
  <c r="J388" i="11"/>
  <c r="K387" i="11"/>
  <c r="J387" i="11"/>
  <c r="K377" i="11"/>
  <c r="J377" i="11"/>
  <c r="K368" i="11"/>
  <c r="J368" i="11"/>
  <c r="K354" i="11"/>
  <c r="J354" i="11"/>
  <c r="K347" i="11"/>
  <c r="J347" i="11"/>
  <c r="K334" i="11"/>
  <c r="J334" i="11"/>
  <c r="K333" i="11"/>
  <c r="J333" i="11"/>
  <c r="K323" i="11"/>
  <c r="J323" i="11"/>
  <c r="K313" i="11"/>
  <c r="J313" i="11"/>
  <c r="K303" i="11"/>
  <c r="J303" i="11"/>
  <c r="K302" i="11"/>
  <c r="J302" i="11"/>
  <c r="K292" i="11"/>
  <c r="J292" i="11"/>
  <c r="K386" i="11"/>
  <c r="J386" i="11"/>
  <c r="K376" i="11"/>
  <c r="J376" i="11"/>
  <c r="K367" i="11"/>
  <c r="J367" i="11"/>
  <c r="K353" i="11"/>
  <c r="J353" i="11"/>
  <c r="K346" i="11"/>
  <c r="J346" i="11"/>
  <c r="K332" i="11"/>
  <c r="J332" i="11"/>
  <c r="K322" i="11"/>
  <c r="J322" i="11"/>
  <c r="K312" i="11"/>
  <c r="J312" i="11"/>
  <c r="K301" i="11"/>
  <c r="J301" i="11"/>
  <c r="K291" i="11"/>
  <c r="J291" i="11"/>
  <c r="A53" i="11" l="1"/>
  <c r="A54" i="11"/>
  <c r="A58" i="11"/>
  <c r="A60" i="11"/>
  <c r="A62" i="11"/>
  <c r="A64" i="11"/>
  <c r="A66" i="11"/>
  <c r="A70" i="11"/>
  <c r="A71" i="11"/>
  <c r="A73" i="11"/>
  <c r="A76" i="11"/>
  <c r="A82" i="11"/>
  <c r="A88" i="11"/>
  <c r="A95" i="11"/>
  <c r="A102" i="11"/>
  <c r="A109" i="11"/>
  <c r="A117" i="11"/>
  <c r="A123" i="11"/>
  <c r="A129" i="11"/>
  <c r="A137" i="11"/>
  <c r="A144" i="11"/>
  <c r="A150" i="11"/>
  <c r="A157" i="11"/>
  <c r="A163" i="11"/>
  <c r="A169" i="11"/>
  <c r="A175" i="11"/>
  <c r="A182" i="11"/>
  <c r="A191" i="11"/>
  <c r="A198" i="11"/>
  <c r="A205" i="11"/>
  <c r="A213" i="11"/>
  <c r="A220" i="11"/>
  <c r="A227" i="11"/>
  <c r="A233" i="11"/>
  <c r="A240" i="11"/>
  <c r="A241" i="11"/>
  <c r="A247" i="11"/>
  <c r="A254" i="11"/>
  <c r="A261" i="11"/>
  <c r="A268" i="11"/>
  <c r="A275" i="11"/>
  <c r="A282" i="11"/>
  <c r="A289" i="11"/>
  <c r="A290" i="11"/>
  <c r="A300" i="11"/>
  <c r="A311" i="11"/>
  <c r="A321" i="11"/>
  <c r="A331" i="11"/>
  <c r="A339" i="11"/>
  <c r="A345" i="11"/>
  <c r="A352" i="11"/>
  <c r="A359" i="11"/>
  <c r="A366" i="11"/>
  <c r="A375" i="11"/>
  <c r="A385" i="11"/>
  <c r="A394" i="11"/>
  <c r="A401" i="11"/>
  <c r="A403" i="11"/>
  <c r="A409" i="11"/>
  <c r="A415" i="11"/>
  <c r="A421" i="11"/>
  <c r="A427" i="11"/>
  <c r="A436" i="11"/>
  <c r="A442" i="11"/>
  <c r="A450" i="11"/>
  <c r="A456" i="11"/>
  <c r="H289" i="11"/>
  <c r="H290" i="11"/>
  <c r="H291" i="11"/>
  <c r="L291" i="11" s="1"/>
  <c r="H292" i="11"/>
  <c r="L292" i="11" s="1"/>
  <c r="H293" i="11"/>
  <c r="L293" i="11" s="1"/>
  <c r="H294" i="11"/>
  <c r="L294" i="11" s="1"/>
  <c r="H295" i="11"/>
  <c r="L295" i="11" s="1"/>
  <c r="H296" i="11"/>
  <c r="L296" i="11" s="1"/>
  <c r="H297" i="11"/>
  <c r="M297" i="11" s="1"/>
  <c r="H298" i="11"/>
  <c r="L298" i="11" s="1"/>
  <c r="H299" i="11"/>
  <c r="L299" i="11" s="1"/>
  <c r="H300" i="11"/>
  <c r="H301" i="11"/>
  <c r="L301" i="11" s="1"/>
  <c r="H302" i="11"/>
  <c r="L302" i="11" s="1"/>
  <c r="H303" i="11"/>
  <c r="L303" i="11" s="1"/>
  <c r="H304" i="11"/>
  <c r="M304" i="11" s="1"/>
  <c r="H305" i="11"/>
  <c r="L305" i="11" s="1"/>
  <c r="H306" i="11"/>
  <c r="L306" i="11" s="1"/>
  <c r="H307" i="11"/>
  <c r="L307" i="11" s="1"/>
  <c r="H308" i="11"/>
  <c r="M308" i="11" s="1"/>
  <c r="H309" i="11"/>
  <c r="L309" i="11" s="1"/>
  <c r="H310" i="11"/>
  <c r="M310" i="11" s="1"/>
  <c r="H311" i="11"/>
  <c r="H312" i="11"/>
  <c r="L312" i="11" s="1"/>
  <c r="H313" i="11"/>
  <c r="L313" i="11" s="1"/>
  <c r="H314" i="11"/>
  <c r="L314" i="11" s="1"/>
  <c r="H315" i="11"/>
  <c r="L315" i="11" s="1"/>
  <c r="H316" i="11"/>
  <c r="L316" i="11" s="1"/>
  <c r="H317" i="11"/>
  <c r="M317" i="11" s="1"/>
  <c r="H318" i="11"/>
  <c r="L318" i="11" s="1"/>
  <c r="H319" i="11"/>
  <c r="L319" i="11" s="1"/>
  <c r="H320" i="11"/>
  <c r="L320" i="11" s="1"/>
  <c r="H321" i="11"/>
  <c r="H322" i="11"/>
  <c r="L322" i="11" s="1"/>
  <c r="H323" i="11"/>
  <c r="M323" i="11" s="1"/>
  <c r="H324" i="11"/>
  <c r="L324" i="11" s="1"/>
  <c r="H325" i="11"/>
  <c r="M325" i="11" s="1"/>
  <c r="H326" i="11"/>
  <c r="M326" i="11" s="1"/>
  <c r="H327" i="11"/>
  <c r="L327" i="11" s="1"/>
  <c r="H328" i="11"/>
  <c r="L328" i="11" s="1"/>
  <c r="H329" i="11"/>
  <c r="L329" i="11" s="1"/>
  <c r="H330" i="11"/>
  <c r="M330" i="11" s="1"/>
  <c r="H331" i="11"/>
  <c r="H332" i="11"/>
  <c r="L332" i="11" s="1"/>
  <c r="H333" i="11"/>
  <c r="M333" i="11" s="1"/>
  <c r="H334" i="11"/>
  <c r="M334" i="11" s="1"/>
  <c r="H335" i="11"/>
  <c r="M335" i="11" s="1"/>
  <c r="H336" i="11"/>
  <c r="L336" i="11" s="1"/>
  <c r="H337" i="11"/>
  <c r="L337" i="11" s="1"/>
  <c r="H338" i="11"/>
  <c r="L338" i="11" s="1"/>
  <c r="H339" i="11"/>
  <c r="H340" i="11"/>
  <c r="M340" i="11" s="1"/>
  <c r="H341" i="11"/>
  <c r="M341" i="11" s="1"/>
  <c r="H342" i="11"/>
  <c r="L342" i="11" s="1"/>
  <c r="H343" i="11"/>
  <c r="L343" i="11" s="1"/>
  <c r="H344" i="11"/>
  <c r="M344" i="11" s="1"/>
  <c r="H345" i="11"/>
  <c r="H346" i="11"/>
  <c r="M346" i="11" s="1"/>
  <c r="H347" i="11"/>
  <c r="L347" i="11" s="1"/>
  <c r="H348" i="11"/>
  <c r="L348" i="11" s="1"/>
  <c r="H349" i="11"/>
  <c r="M349" i="11" s="1"/>
  <c r="H350" i="11"/>
  <c r="M350" i="11" s="1"/>
  <c r="H351" i="11"/>
  <c r="L351" i="11" s="1"/>
  <c r="H352" i="11"/>
  <c r="H353" i="11"/>
  <c r="L353" i="11" s="1"/>
  <c r="H354" i="11"/>
  <c r="L354" i="11" s="1"/>
  <c r="H355" i="11"/>
  <c r="L355" i="11" s="1"/>
  <c r="H356" i="11"/>
  <c r="L356" i="11" s="1"/>
  <c r="H357" i="11"/>
  <c r="M357" i="11" s="1"/>
  <c r="H358" i="11"/>
  <c r="L358" i="11" s="1"/>
  <c r="H359" i="11"/>
  <c r="H360" i="11"/>
  <c r="L360" i="11" s="1"/>
  <c r="H361" i="11"/>
  <c r="L361" i="11" s="1"/>
  <c r="H362" i="11"/>
  <c r="L362" i="11" s="1"/>
  <c r="H363" i="11"/>
  <c r="M363" i="11" s="1"/>
  <c r="H364" i="11"/>
  <c r="L364" i="11" s="1"/>
  <c r="H365" i="11"/>
  <c r="M365" i="11" s="1"/>
  <c r="H366" i="11"/>
  <c r="H367" i="11"/>
  <c r="M367" i="11" s="1"/>
  <c r="H368" i="11"/>
  <c r="M368" i="11" s="1"/>
  <c r="H369" i="11"/>
  <c r="L369" i="11" s="1"/>
  <c r="H370" i="11"/>
  <c r="L370" i="11" s="1"/>
  <c r="H371" i="11"/>
  <c r="L371" i="11" s="1"/>
  <c r="H372" i="11"/>
  <c r="M372" i="11" s="1"/>
  <c r="H373" i="11"/>
  <c r="L373" i="11" s="1"/>
  <c r="H374" i="11"/>
  <c r="M374" i="11" s="1"/>
  <c r="H375" i="11"/>
  <c r="H376" i="11"/>
  <c r="L376" i="11" s="1"/>
  <c r="H377" i="11"/>
  <c r="L377" i="11" s="1"/>
  <c r="H378" i="11"/>
  <c r="L378" i="11" s="1"/>
  <c r="H379" i="11"/>
  <c r="L379" i="11" s="1"/>
  <c r="H380" i="11"/>
  <c r="L380" i="11" s="1"/>
  <c r="H381" i="11"/>
  <c r="L381" i="11" s="1"/>
  <c r="H382" i="11"/>
  <c r="L382" i="11" s="1"/>
  <c r="H383" i="11"/>
  <c r="M383" i="11" s="1"/>
  <c r="H384" i="11"/>
  <c r="L384" i="11" s="1"/>
  <c r="H385" i="11"/>
  <c r="H386" i="11"/>
  <c r="M386" i="11" s="1"/>
  <c r="H387" i="11"/>
  <c r="L387" i="11" s="1"/>
  <c r="H388" i="11"/>
  <c r="L388" i="11" s="1"/>
  <c r="H389" i="11"/>
  <c r="M389" i="11" s="1"/>
  <c r="H390" i="11"/>
  <c r="L390" i="11" s="1"/>
  <c r="H391" i="11"/>
  <c r="M391" i="11" s="1"/>
  <c r="H392" i="11"/>
  <c r="L392" i="11" s="1"/>
  <c r="H393" i="11"/>
  <c r="L393" i="11" s="1"/>
  <c r="H394" i="11"/>
  <c r="H395" i="11"/>
  <c r="M395" i="11" s="1"/>
  <c r="H396" i="11"/>
  <c r="L396" i="11" s="1"/>
  <c r="H397" i="11"/>
  <c r="L397" i="11" s="1"/>
  <c r="H398" i="11"/>
  <c r="L398" i="11" s="1"/>
  <c r="H399" i="11"/>
  <c r="L399" i="11" s="1"/>
  <c r="H400" i="11"/>
  <c r="L400" i="11" s="1"/>
  <c r="H401" i="11"/>
  <c r="H402" i="11"/>
  <c r="M402" i="11" s="1"/>
  <c r="H403" i="11"/>
  <c r="H404" i="11"/>
  <c r="L404" i="11" s="1"/>
  <c r="H405" i="11"/>
  <c r="M405" i="11" s="1"/>
  <c r="H406" i="11"/>
  <c r="L406" i="11" s="1"/>
  <c r="H407" i="11"/>
  <c r="L407" i="11" s="1"/>
  <c r="H408" i="11"/>
  <c r="L408" i="11" s="1"/>
  <c r="H409" i="11"/>
  <c r="H410" i="11"/>
  <c r="M410" i="11" s="1"/>
  <c r="H411" i="11"/>
  <c r="M411" i="11" s="1"/>
  <c r="H412" i="11"/>
  <c r="L412" i="11" s="1"/>
  <c r="H413" i="11"/>
  <c r="L413" i="11" s="1"/>
  <c r="H414" i="11"/>
  <c r="L414" i="11" s="1"/>
  <c r="H415" i="11"/>
  <c r="H416" i="11"/>
  <c r="L416" i="11" s="1"/>
  <c r="H417" i="11"/>
  <c r="L417" i="11" s="1"/>
  <c r="H418" i="11"/>
  <c r="M418" i="11" s="1"/>
  <c r="H419" i="11"/>
  <c r="L419" i="11" s="1"/>
  <c r="H420" i="11"/>
  <c r="L420" i="11" s="1"/>
  <c r="H421" i="11"/>
  <c r="H422" i="11"/>
  <c r="L422" i="11" s="1"/>
  <c r="H423" i="11"/>
  <c r="L423" i="11" s="1"/>
  <c r="H424" i="11"/>
  <c r="M424" i="11" s="1"/>
  <c r="H425" i="11"/>
  <c r="L425" i="11" s="1"/>
  <c r="H426" i="11"/>
  <c r="M426" i="11" s="1"/>
  <c r="H427" i="11"/>
  <c r="H428" i="11"/>
  <c r="L428" i="11" s="1"/>
  <c r="H429" i="11"/>
  <c r="L429" i="11" s="1"/>
  <c r="H430" i="11"/>
  <c r="L430" i="11" s="1"/>
  <c r="H431" i="11"/>
  <c r="M431" i="11" s="1"/>
  <c r="H432" i="11"/>
  <c r="L432" i="11" s="1"/>
  <c r="H433" i="11"/>
  <c r="L433" i="11" s="1"/>
  <c r="H434" i="11"/>
  <c r="L434" i="11" s="1"/>
  <c r="H435" i="11"/>
  <c r="L435" i="11" s="1"/>
  <c r="H436" i="11"/>
  <c r="H437" i="11"/>
  <c r="L437" i="11" s="1"/>
  <c r="H438" i="11"/>
  <c r="M438" i="11" s="1"/>
  <c r="H439" i="11"/>
  <c r="M439" i="11" s="1"/>
  <c r="H440" i="11"/>
  <c r="L440" i="11" s="1"/>
  <c r="H441" i="11"/>
  <c r="M441" i="11" s="1"/>
  <c r="H442" i="11"/>
  <c r="H443" i="11"/>
  <c r="L443" i="11" s="1"/>
  <c r="H444" i="11"/>
  <c r="L444" i="11" s="1"/>
  <c r="H445" i="11"/>
  <c r="L445" i="11" s="1"/>
  <c r="H446" i="11"/>
  <c r="L446" i="11" s="1"/>
  <c r="H447" i="11"/>
  <c r="L447" i="11" s="1"/>
  <c r="H448" i="11"/>
  <c r="L448" i="11" s="1"/>
  <c r="H449" i="11"/>
  <c r="L449" i="11" s="1"/>
  <c r="H450" i="11"/>
  <c r="H451" i="11"/>
  <c r="L451" i="11" s="1"/>
  <c r="H452" i="11"/>
  <c r="M452" i="11" s="1"/>
  <c r="H453" i="11"/>
  <c r="M453" i="11" s="1"/>
  <c r="H454" i="11"/>
  <c r="M454" i="11" s="1"/>
  <c r="H455" i="11"/>
  <c r="M455" i="11" s="1"/>
  <c r="H456" i="11"/>
  <c r="H457" i="11"/>
  <c r="L456" i="11"/>
  <c r="M456" i="11"/>
  <c r="N456" i="11"/>
  <c r="H459" i="11"/>
  <c r="H458" i="11"/>
  <c r="L458" i="11" s="1"/>
  <c r="L289" i="11"/>
  <c r="M289" i="11"/>
  <c r="N289" i="11"/>
  <c r="L290" i="11"/>
  <c r="M290" i="11"/>
  <c r="N290" i="11"/>
  <c r="L300" i="11"/>
  <c r="M300" i="11"/>
  <c r="N300" i="11"/>
  <c r="L311" i="11"/>
  <c r="M311" i="11"/>
  <c r="N311" i="11"/>
  <c r="L321" i="11"/>
  <c r="M321" i="11"/>
  <c r="N321" i="11"/>
  <c r="L331" i="11"/>
  <c r="M331" i="11"/>
  <c r="N331" i="11"/>
  <c r="L339" i="11"/>
  <c r="M339" i="11"/>
  <c r="N339" i="11"/>
  <c r="L345" i="11"/>
  <c r="M345" i="11"/>
  <c r="N345" i="11"/>
  <c r="L352" i="11"/>
  <c r="M352" i="11"/>
  <c r="N352" i="11"/>
  <c r="L359" i="11"/>
  <c r="M359" i="11"/>
  <c r="N359" i="11"/>
  <c r="L366" i="11"/>
  <c r="M366" i="11"/>
  <c r="N366" i="11"/>
  <c r="L375" i="11"/>
  <c r="M375" i="11"/>
  <c r="N375" i="11"/>
  <c r="L385" i="11"/>
  <c r="M385" i="11"/>
  <c r="N385" i="11"/>
  <c r="L394" i="11"/>
  <c r="M394" i="11"/>
  <c r="N394" i="11"/>
  <c r="L401" i="11"/>
  <c r="M401" i="11"/>
  <c r="N401" i="11"/>
  <c r="L403" i="11"/>
  <c r="M403" i="11"/>
  <c r="N403" i="11"/>
  <c r="L409" i="11"/>
  <c r="M409" i="11"/>
  <c r="N409" i="11"/>
  <c r="L415" i="11"/>
  <c r="M415" i="11"/>
  <c r="N415" i="11"/>
  <c r="L421" i="11"/>
  <c r="M421" i="11"/>
  <c r="N421" i="11"/>
  <c r="L427" i="11"/>
  <c r="M427" i="11"/>
  <c r="N427" i="11"/>
  <c r="L436" i="11"/>
  <c r="M436" i="11"/>
  <c r="N436" i="11"/>
  <c r="L442" i="11"/>
  <c r="M442" i="11"/>
  <c r="N442" i="11"/>
  <c r="L450" i="11"/>
  <c r="M450" i="11"/>
  <c r="N450" i="11"/>
  <c r="M437" i="11" l="1"/>
  <c r="N437" i="11" s="1"/>
  <c r="M400" i="11"/>
  <c r="M291" i="11"/>
  <c r="N291" i="11" s="1"/>
  <c r="L341" i="11"/>
  <c r="N341" i="11" s="1"/>
  <c r="L297" i="11"/>
  <c r="N297" i="11" s="1"/>
  <c r="M417" i="11"/>
  <c r="N417" i="11" s="1"/>
  <c r="L350" i="11"/>
  <c r="M302" i="11"/>
  <c r="N302" i="11" s="1"/>
  <c r="M430" i="11"/>
  <c r="N430" i="11" s="1"/>
  <c r="L402" i="11"/>
  <c r="N402" i="11" s="1"/>
  <c r="L346" i="11"/>
  <c r="N346" i="11" s="1"/>
  <c r="M338" i="11"/>
  <c r="N338" i="11" s="1"/>
  <c r="M322" i="11"/>
  <c r="N322" i="11" s="1"/>
  <c r="M298" i="11"/>
  <c r="N298" i="11" s="1"/>
  <c r="L426" i="11"/>
  <c r="N426" i="11" s="1"/>
  <c r="M414" i="11"/>
  <c r="N414" i="11" s="1"/>
  <c r="L330" i="11"/>
  <c r="N330" i="11" s="1"/>
  <c r="M309" i="11"/>
  <c r="N309" i="11" s="1"/>
  <c r="M293" i="11"/>
  <c r="N293" i="11" s="1"/>
  <c r="L326" i="11"/>
  <c r="N326" i="11" s="1"/>
  <c r="L310" i="11"/>
  <c r="N310" i="11" s="1"/>
  <c r="L439" i="11"/>
  <c r="N439" i="11" s="1"/>
  <c r="L395" i="11"/>
  <c r="N395" i="11" s="1"/>
  <c r="L391" i="11"/>
  <c r="N391" i="11" s="1"/>
  <c r="M315" i="11"/>
  <c r="N315" i="11" s="1"/>
  <c r="L438" i="11"/>
  <c r="N438" i="11" s="1"/>
  <c r="M390" i="11"/>
  <c r="N390" i="11" s="1"/>
  <c r="M382" i="11"/>
  <c r="N382" i="11" s="1"/>
  <c r="L374" i="11"/>
  <c r="N374" i="11" s="1"/>
  <c r="M362" i="11"/>
  <c r="N362" i="11" s="1"/>
  <c r="M354" i="11"/>
  <c r="N354" i="11" s="1"/>
  <c r="L334" i="11"/>
  <c r="N334" i="11" s="1"/>
  <c r="M294" i="11"/>
  <c r="N294" i="11" s="1"/>
  <c r="M295" i="11"/>
  <c r="N295" i="11" s="1"/>
  <c r="L383" i="11"/>
  <c r="N383" i="11" s="1"/>
  <c r="M343" i="11"/>
  <c r="N343" i="11" s="1"/>
  <c r="L367" i="11"/>
  <c r="N367" i="11" s="1"/>
  <c r="L363" i="11"/>
  <c r="N363" i="11" s="1"/>
  <c r="L455" i="11"/>
  <c r="N455" i="11" s="1"/>
  <c r="M399" i="11"/>
  <c r="N399" i="11" s="1"/>
  <c r="M371" i="11"/>
  <c r="N371" i="11" s="1"/>
  <c r="L454" i="11"/>
  <c r="N454" i="11" s="1"/>
  <c r="M446" i="11"/>
  <c r="N446" i="11" s="1"/>
  <c r="M435" i="11"/>
  <c r="N435" i="11" s="1"/>
  <c r="M423" i="11"/>
  <c r="N423" i="11" s="1"/>
  <c r="L410" i="11"/>
  <c r="N410" i="11" s="1"/>
  <c r="M406" i="11"/>
  <c r="N406" i="11" s="1"/>
  <c r="M398" i="11"/>
  <c r="N398" i="11" s="1"/>
  <c r="M378" i="11"/>
  <c r="N378" i="11" s="1"/>
  <c r="M370" i="11"/>
  <c r="N370" i="11" s="1"/>
  <c r="M358" i="11"/>
  <c r="N358" i="11" s="1"/>
  <c r="M347" i="11"/>
  <c r="N347" i="11" s="1"/>
  <c r="M342" i="11"/>
  <c r="N342" i="11" s="1"/>
  <c r="L335" i="11"/>
  <c r="N335" i="11" s="1"/>
  <c r="M327" i="11"/>
  <c r="N327" i="11" s="1"/>
  <c r="M318" i="11"/>
  <c r="N318" i="11" s="1"/>
  <c r="M314" i="11"/>
  <c r="N314" i="11" s="1"/>
  <c r="M306" i="11"/>
  <c r="N306" i="11" s="1"/>
  <c r="M434" i="11"/>
  <c r="N434" i="11" s="1"/>
  <c r="M422" i="11"/>
  <c r="N422" i="11" s="1"/>
  <c r="L418" i="11"/>
  <c r="N418" i="11" s="1"/>
  <c r="L386" i="11"/>
  <c r="N386" i="11" s="1"/>
  <c r="M355" i="11"/>
  <c r="N355" i="11" s="1"/>
  <c r="M397" i="11"/>
  <c r="N397" i="11" s="1"/>
  <c r="L389" i="11"/>
  <c r="N389" i="11" s="1"/>
  <c r="L365" i="11"/>
  <c r="N365" i="11" s="1"/>
  <c r="M361" i="11"/>
  <c r="N361" i="11" s="1"/>
  <c r="L349" i="11"/>
  <c r="N349" i="11" s="1"/>
  <c r="L333" i="11"/>
  <c r="N333" i="11" s="1"/>
  <c r="M429" i="11"/>
  <c r="N429" i="11" s="1"/>
  <c r="L325" i="11"/>
  <c r="N325" i="11" s="1"/>
  <c r="L317" i="11"/>
  <c r="N317" i="11" s="1"/>
  <c r="M301" i="11"/>
  <c r="N301" i="11" s="1"/>
  <c r="M433" i="11"/>
  <c r="N433" i="11" s="1"/>
  <c r="L357" i="11"/>
  <c r="N357" i="11" s="1"/>
  <c r="M353" i="11"/>
  <c r="N353" i="11" s="1"/>
  <c r="M305" i="11"/>
  <c r="N305" i="11" s="1"/>
  <c r="L453" i="11"/>
  <c r="N453" i="11" s="1"/>
  <c r="M425" i="11"/>
  <c r="N425" i="11" s="1"/>
  <c r="M413" i="11"/>
  <c r="N413" i="11" s="1"/>
  <c r="M377" i="11"/>
  <c r="N377" i="11" s="1"/>
  <c r="M369" i="11"/>
  <c r="N369" i="11" s="1"/>
  <c r="M337" i="11"/>
  <c r="N337" i="11" s="1"/>
  <c r="M329" i="11"/>
  <c r="M457" i="11"/>
  <c r="M373" i="11"/>
  <c r="N373" i="11" s="1"/>
  <c r="M313" i="11"/>
  <c r="N313" i="11" s="1"/>
  <c r="M449" i="11"/>
  <c r="N449" i="11" s="1"/>
  <c r="M445" i="11"/>
  <c r="N445" i="11" s="1"/>
  <c r="M393" i="11"/>
  <c r="N393" i="11" s="1"/>
  <c r="M381" i="11"/>
  <c r="N381" i="11" s="1"/>
  <c r="L441" i="11"/>
  <c r="N441" i="11" s="1"/>
  <c r="L405" i="11"/>
  <c r="N405" i="11" s="1"/>
  <c r="M420" i="11"/>
  <c r="N420" i="11" s="1"/>
  <c r="L304" i="11"/>
  <c r="N304" i="11" s="1"/>
  <c r="M443" i="11"/>
  <c r="N443" i="11" s="1"/>
  <c r="L431" i="11"/>
  <c r="N431" i="11" s="1"/>
  <c r="L424" i="11"/>
  <c r="N424" i="11" s="1"/>
  <c r="M419" i="11"/>
  <c r="N419" i="11" s="1"/>
  <c r="L411" i="11"/>
  <c r="N411" i="11" s="1"/>
  <c r="M387" i="11"/>
  <c r="N387" i="11" s="1"/>
  <c r="L323" i="11"/>
  <c r="N323" i="11" s="1"/>
  <c r="M303" i="11"/>
  <c r="N303" i="11" s="1"/>
  <c r="M296" i="11"/>
  <c r="N296" i="11" s="1"/>
  <c r="M444" i="11"/>
  <c r="N444" i="11" s="1"/>
  <c r="L452" i="11"/>
  <c r="N452" i="11" s="1"/>
  <c r="M448" i="11"/>
  <c r="N448" i="11" s="1"/>
  <c r="M332" i="11"/>
  <c r="N332" i="11" s="1"/>
  <c r="M451" i="11"/>
  <c r="N451" i="11" s="1"/>
  <c r="M447" i="11"/>
  <c r="N447" i="11" s="1"/>
  <c r="M407" i="11"/>
  <c r="N407" i="11" s="1"/>
  <c r="M379" i="11"/>
  <c r="N379" i="11" s="1"/>
  <c r="L368" i="11"/>
  <c r="N368" i="11" s="1"/>
  <c r="M364" i="11"/>
  <c r="N364" i="11" s="1"/>
  <c r="M351" i="11"/>
  <c r="N351" i="11" s="1"/>
  <c r="L340" i="11"/>
  <c r="N340" i="11" s="1"/>
  <c r="M336" i="11"/>
  <c r="N336" i="11" s="1"/>
  <c r="M319" i="11"/>
  <c r="N319" i="11" s="1"/>
  <c r="M307" i="11"/>
  <c r="N307" i="11" s="1"/>
  <c r="M299" i="11"/>
  <c r="N299" i="11" s="1"/>
  <c r="M459" i="11"/>
  <c r="M360" i="11"/>
  <c r="N360" i="11" s="1"/>
  <c r="L308" i="11"/>
  <c r="N308" i="11" s="1"/>
  <c r="M416" i="11"/>
  <c r="N416" i="11" s="1"/>
  <c r="M396" i="11"/>
  <c r="N396" i="11" s="1"/>
  <c r="L372" i="11"/>
  <c r="N372" i="11" s="1"/>
  <c r="L344" i="11"/>
  <c r="N344" i="11" s="1"/>
  <c r="M292" i="11"/>
  <c r="N292" i="11" s="1"/>
  <c r="M440" i="11"/>
  <c r="N440" i="11" s="1"/>
  <c r="M412" i="11"/>
  <c r="N412" i="11" s="1"/>
  <c r="M392" i="11"/>
  <c r="N392" i="11" s="1"/>
  <c r="M388" i="11"/>
  <c r="N388" i="11" s="1"/>
  <c r="M356" i="11"/>
  <c r="N356" i="11" s="1"/>
  <c r="M328" i="11"/>
  <c r="N328" i="11" s="1"/>
  <c r="M324" i="11"/>
  <c r="N324" i="11" s="1"/>
  <c r="M432" i="11"/>
  <c r="N432" i="11" s="1"/>
  <c r="M428" i="11"/>
  <c r="N428" i="11" s="1"/>
  <c r="M408" i="11"/>
  <c r="N408" i="11" s="1"/>
  <c r="M404" i="11"/>
  <c r="N404" i="11" s="1"/>
  <c r="M384" i="11"/>
  <c r="N384" i="11" s="1"/>
  <c r="M380" i="11"/>
  <c r="N380" i="11" s="1"/>
  <c r="M376" i="11"/>
  <c r="N376" i="11" s="1"/>
  <c r="M348" i="11"/>
  <c r="N348" i="11" s="1"/>
  <c r="M320" i="11"/>
  <c r="N320" i="11" s="1"/>
  <c r="M316" i="11"/>
  <c r="N316" i="11" s="1"/>
  <c r="M312" i="11"/>
  <c r="N312" i="11" s="1"/>
  <c r="M458" i="11"/>
  <c r="N458" i="11" s="1"/>
  <c r="L457" i="11"/>
  <c r="L459" i="11"/>
  <c r="N329" i="11"/>
  <c r="N400" i="11"/>
  <c r="N350" i="11"/>
  <c r="N459" i="11" l="1"/>
  <c r="N457" i="11"/>
  <c r="K279" i="11"/>
  <c r="J279" i="11"/>
  <c r="K272" i="11"/>
  <c r="J272" i="11"/>
  <c r="K265" i="11"/>
  <c r="J265" i="11"/>
  <c r="K258" i="11"/>
  <c r="J258" i="11"/>
  <c r="K252" i="11"/>
  <c r="J252" i="11"/>
  <c r="K245" i="11"/>
  <c r="J245" i="11"/>
  <c r="K231" i="11"/>
  <c r="J231" i="11"/>
  <c r="K173" i="11"/>
  <c r="J173" i="11"/>
  <c r="K167" i="11"/>
  <c r="J167" i="11"/>
  <c r="K161" i="11"/>
  <c r="J161" i="11"/>
  <c r="K154" i="11"/>
  <c r="J154" i="11"/>
  <c r="K148" i="11"/>
  <c r="J148" i="11"/>
  <c r="K141" i="11"/>
  <c r="J141" i="11"/>
  <c r="K286" i="11"/>
  <c r="J286" i="11"/>
  <c r="K237" i="11"/>
  <c r="J237" i="11"/>
  <c r="K217" i="11"/>
  <c r="J217" i="11"/>
  <c r="K210" i="11"/>
  <c r="J210" i="11"/>
  <c r="K195" i="11"/>
  <c r="J195" i="11"/>
  <c r="K188" i="11"/>
  <c r="J188" i="11"/>
  <c r="K127" i="11"/>
  <c r="J127" i="11"/>
  <c r="K121" i="11"/>
  <c r="J121" i="11"/>
  <c r="K134" i="11" l="1"/>
  <c r="J134" i="11"/>
  <c r="K115" i="11"/>
  <c r="J115" i="11"/>
  <c r="K107" i="11"/>
  <c r="J107" i="11"/>
  <c r="K100" i="11"/>
  <c r="J100" i="11"/>
  <c r="K251" i="11"/>
  <c r="J251" i="11"/>
  <c r="K209" i="11"/>
  <c r="J209" i="11"/>
  <c r="K186" i="11"/>
  <c r="J186" i="11"/>
  <c r="K179" i="11"/>
  <c r="J179" i="11"/>
  <c r="K133" i="11"/>
  <c r="J133" i="11"/>
  <c r="K114" i="11"/>
  <c r="J114" i="11"/>
  <c r="K106" i="11"/>
  <c r="J106" i="11"/>
  <c r="K99" i="11"/>
  <c r="J99" i="11"/>
  <c r="K92" i="11"/>
  <c r="J92" i="11"/>
  <c r="K285" i="11"/>
  <c r="J285" i="11"/>
  <c r="K278" i="11"/>
  <c r="J278" i="11"/>
  <c r="K271" i="11"/>
  <c r="J271" i="11"/>
  <c r="K257" i="11"/>
  <c r="J257" i="11"/>
  <c r="K264" i="11"/>
  <c r="J264" i="11"/>
  <c r="K250" i="11"/>
  <c r="J250" i="11"/>
  <c r="K244" i="11"/>
  <c r="J244" i="11"/>
  <c r="K236" i="11"/>
  <c r="J236" i="11"/>
  <c r="K230" i="11"/>
  <c r="J230" i="11"/>
  <c r="K216" i="11"/>
  <c r="J216" i="11"/>
  <c r="K223" i="11"/>
  <c r="J223" i="11"/>
  <c r="K208" i="11"/>
  <c r="J208" i="11"/>
  <c r="K201" i="11"/>
  <c r="J201" i="11"/>
  <c r="K194" i="11"/>
  <c r="J194" i="11"/>
  <c r="K185" i="11"/>
  <c r="J185" i="11"/>
  <c r="K178" i="11"/>
  <c r="J178" i="11"/>
  <c r="K172" i="11"/>
  <c r="J172" i="11"/>
  <c r="K166" i="11"/>
  <c r="J166" i="11"/>
  <c r="K160" i="11"/>
  <c r="J160" i="11"/>
  <c r="K153" i="11"/>
  <c r="J153" i="11"/>
  <c r="K147" i="11"/>
  <c r="J147" i="11"/>
  <c r="K140" i="11"/>
  <c r="J140" i="11"/>
  <c r="K132" i="11"/>
  <c r="J132" i="11"/>
  <c r="K126" i="11"/>
  <c r="J126" i="11"/>
  <c r="K120" i="11"/>
  <c r="J120" i="11"/>
  <c r="K113" i="11"/>
  <c r="J113" i="11"/>
  <c r="K112" i="11"/>
  <c r="J112" i="11"/>
  <c r="K105" i="11"/>
  <c r="J105" i="11"/>
  <c r="K98" i="11"/>
  <c r="J98" i="11"/>
  <c r="K91" i="11"/>
  <c r="J91" i="11"/>
  <c r="K85" i="11"/>
  <c r="J85" i="11"/>
  <c r="K79" i="11"/>
  <c r="J79" i="11"/>
  <c r="K75" i="11"/>
  <c r="J75" i="11"/>
  <c r="K243" i="11"/>
  <c r="J243" i="11"/>
  <c r="K242" i="11"/>
  <c r="J242" i="11"/>
  <c r="J284" i="11"/>
  <c r="J283" i="11"/>
  <c r="J277" i="11"/>
  <c r="J276" i="11"/>
  <c r="J270" i="11"/>
  <c r="J269" i="11"/>
  <c r="J263" i="11"/>
  <c r="J262" i="11"/>
  <c r="J256" i="11"/>
  <c r="J255" i="11"/>
  <c r="J249" i="11"/>
  <c r="J248" i="11"/>
  <c r="J235" i="11"/>
  <c r="J234" i="11"/>
  <c r="J229" i="11"/>
  <c r="J228" i="11"/>
  <c r="J222" i="11"/>
  <c r="J221" i="11"/>
  <c r="J215" i="11"/>
  <c r="J214" i="11"/>
  <c r="J207" i="11"/>
  <c r="J206" i="11"/>
  <c r="J200" i="11"/>
  <c r="J199" i="11"/>
  <c r="J193" i="11"/>
  <c r="J192" i="11"/>
  <c r="J184" i="11"/>
  <c r="J183" i="11"/>
  <c r="J177" i="11"/>
  <c r="J176" i="11"/>
  <c r="J171" i="11"/>
  <c r="J170" i="11"/>
  <c r="J165" i="11"/>
  <c r="J164" i="11"/>
  <c r="J159" i="11"/>
  <c r="J158" i="11"/>
  <c r="J152" i="11"/>
  <c r="J151" i="11"/>
  <c r="J146" i="11"/>
  <c r="J145" i="11"/>
  <c r="J139" i="11"/>
  <c r="J138" i="11"/>
  <c r="J131" i="11"/>
  <c r="J130" i="11"/>
  <c r="J125" i="11"/>
  <c r="J124" i="11"/>
  <c r="J119" i="11"/>
  <c r="J118" i="11"/>
  <c r="J111" i="11"/>
  <c r="J110" i="11"/>
  <c r="J104" i="11"/>
  <c r="J103" i="11"/>
  <c r="J97" i="11"/>
  <c r="J96" i="11"/>
  <c r="J90" i="11"/>
  <c r="J89" i="11"/>
  <c r="J83" i="11"/>
  <c r="J84" i="11"/>
  <c r="K78" i="11"/>
  <c r="J78" i="11"/>
  <c r="K77" i="11"/>
  <c r="J77" i="11"/>
  <c r="K224" i="11"/>
  <c r="J224" i="11"/>
  <c r="K202" i="11"/>
  <c r="J202" i="11"/>
  <c r="K187" i="11"/>
  <c r="J187" i="11"/>
  <c r="K180" i="11"/>
  <c r="J180" i="11"/>
  <c r="K93" i="11"/>
  <c r="J93" i="11"/>
  <c r="K86" i="11"/>
  <c r="J86" i="11"/>
  <c r="K80" i="11"/>
  <c r="J80" i="11"/>
  <c r="K74" i="11"/>
  <c r="J74" i="11"/>
  <c r="K225" i="11"/>
  <c r="J225" i="11"/>
  <c r="K203" i="11"/>
  <c r="J203" i="11"/>
  <c r="J280" i="11"/>
  <c r="J266" i="11"/>
  <c r="J72" i="11"/>
  <c r="K69" i="11"/>
  <c r="J69" i="11"/>
  <c r="K68" i="11"/>
  <c r="J68" i="11"/>
  <c r="K67" i="11"/>
  <c r="J67" i="11"/>
  <c r="G52" i="11" l="1"/>
  <c r="H52" i="11" s="1"/>
  <c r="M52" i="11" s="1"/>
  <c r="G51" i="11"/>
  <c r="H51" i="11" s="1"/>
  <c r="L51" i="11" l="1"/>
  <c r="M51" i="11"/>
  <c r="L52" i="11"/>
  <c r="N52" i="11" s="1"/>
  <c r="N51" i="11" l="1"/>
  <c r="H288" i="11" l="1"/>
  <c r="H287" i="11"/>
  <c r="M287" i="11" s="1"/>
  <c r="H286" i="11"/>
  <c r="L286" i="11" s="1"/>
  <c r="H285" i="11"/>
  <c r="H284" i="11"/>
  <c r="H283" i="11"/>
  <c r="M283" i="11" s="1"/>
  <c r="H281" i="11"/>
  <c r="H280" i="11"/>
  <c r="H279" i="11"/>
  <c r="H278" i="11"/>
  <c r="L278" i="11" s="1"/>
  <c r="H277" i="11"/>
  <c r="M277" i="11" s="1"/>
  <c r="H276" i="11"/>
  <c r="H274" i="11"/>
  <c r="M274" i="11" s="1"/>
  <c r="H273" i="11"/>
  <c r="H272" i="11"/>
  <c r="M272" i="11" s="1"/>
  <c r="H271" i="11"/>
  <c r="H270" i="11"/>
  <c r="M270" i="11" s="1"/>
  <c r="H269" i="11"/>
  <c r="M269" i="11" s="1"/>
  <c r="H267" i="11"/>
  <c r="L267" i="11" s="1"/>
  <c r="H266" i="11"/>
  <c r="M266" i="11" s="1"/>
  <c r="H265" i="11"/>
  <c r="L265" i="11" s="1"/>
  <c r="H264" i="11"/>
  <c r="M264" i="11" s="1"/>
  <c r="H263" i="11"/>
  <c r="H262" i="11"/>
  <c r="M262" i="11" s="1"/>
  <c r="H260" i="11"/>
  <c r="H259" i="11"/>
  <c r="L259" i="11" s="1"/>
  <c r="H258" i="11"/>
  <c r="M258" i="11" s="1"/>
  <c r="H257" i="11"/>
  <c r="L257" i="11" s="1"/>
  <c r="H256" i="11"/>
  <c r="H255" i="11"/>
  <c r="H253" i="11"/>
  <c r="M253" i="11" s="1"/>
  <c r="H252" i="11"/>
  <c r="H251" i="11"/>
  <c r="H250" i="11"/>
  <c r="M250" i="11" s="1"/>
  <c r="H249" i="11"/>
  <c r="L249" i="11" s="1"/>
  <c r="H248" i="11"/>
  <c r="H246" i="11"/>
  <c r="H245" i="11"/>
  <c r="M245" i="11" s="1"/>
  <c r="H244" i="11"/>
  <c r="H243" i="11"/>
  <c r="H242" i="11"/>
  <c r="H239" i="11"/>
  <c r="L239" i="11" s="1"/>
  <c r="H238" i="11"/>
  <c r="M238" i="11" s="1"/>
  <c r="H237" i="11"/>
  <c r="H236" i="11"/>
  <c r="M236" i="11" s="1"/>
  <c r="H235" i="11"/>
  <c r="H234" i="11"/>
  <c r="M234" i="11" s="1"/>
  <c r="H232" i="11"/>
  <c r="H231" i="11"/>
  <c r="M231" i="11" s="1"/>
  <c r="H230" i="11"/>
  <c r="M230" i="11" s="1"/>
  <c r="H229" i="11"/>
  <c r="L229" i="11" s="1"/>
  <c r="H228" i="11"/>
  <c r="M228" i="11" s="1"/>
  <c r="H226" i="11"/>
  <c r="L226" i="11" s="1"/>
  <c r="H225" i="11"/>
  <c r="M225" i="11" s="1"/>
  <c r="H224" i="11"/>
  <c r="H223" i="11"/>
  <c r="M223" i="11" s="1"/>
  <c r="H222" i="11"/>
  <c r="H221" i="11"/>
  <c r="L221" i="11" s="1"/>
  <c r="H219" i="11"/>
  <c r="M219" i="11" s="1"/>
  <c r="H218" i="11"/>
  <c r="L218" i="11" s="1"/>
  <c r="H217" i="11"/>
  <c r="H216" i="11"/>
  <c r="H215" i="11"/>
  <c r="L215" i="11" s="1"/>
  <c r="H214" i="11"/>
  <c r="H212" i="11"/>
  <c r="H211" i="11"/>
  <c r="M211" i="11" s="1"/>
  <c r="H210" i="11"/>
  <c r="L210" i="11" s="1"/>
  <c r="H209" i="11"/>
  <c r="H208" i="11"/>
  <c r="H207" i="11"/>
  <c r="L207" i="11" s="1"/>
  <c r="H206" i="11"/>
  <c r="H204" i="11"/>
  <c r="H203" i="11"/>
  <c r="H202" i="11"/>
  <c r="L202" i="11" s="1"/>
  <c r="H201" i="11"/>
  <c r="H200" i="11"/>
  <c r="H199" i="11"/>
  <c r="M199" i="11" s="1"/>
  <c r="H197" i="11"/>
  <c r="H196" i="11"/>
  <c r="H195" i="11"/>
  <c r="H194" i="11"/>
  <c r="M194" i="11" s="1"/>
  <c r="H193" i="11"/>
  <c r="M193" i="11" s="1"/>
  <c r="H192" i="11"/>
  <c r="H190" i="11"/>
  <c r="M190" i="11" s="1"/>
  <c r="H189" i="11"/>
  <c r="L189" i="11" s="1"/>
  <c r="H188" i="11"/>
  <c r="M188" i="11" s="1"/>
  <c r="H187" i="11"/>
  <c r="H186" i="11"/>
  <c r="M186" i="11" s="1"/>
  <c r="H185" i="11"/>
  <c r="H184" i="11"/>
  <c r="L184" i="11" s="1"/>
  <c r="H183" i="11"/>
  <c r="M183" i="11" s="1"/>
  <c r="H181" i="11"/>
  <c r="L181" i="11" s="1"/>
  <c r="H180" i="11"/>
  <c r="H179" i="11"/>
  <c r="H178" i="11"/>
  <c r="M178" i="11" s="1"/>
  <c r="H177" i="11"/>
  <c r="H176" i="11"/>
  <c r="H174" i="11"/>
  <c r="M174" i="11" s="1"/>
  <c r="H173" i="11"/>
  <c r="L173" i="11" s="1"/>
  <c r="H172" i="11"/>
  <c r="H171" i="11"/>
  <c r="H170" i="11"/>
  <c r="M170" i="11" s="1"/>
  <c r="H168" i="11"/>
  <c r="H167" i="11"/>
  <c r="H166" i="11"/>
  <c r="H165" i="11"/>
  <c r="L165" i="11" s="1"/>
  <c r="H164" i="11"/>
  <c r="H162" i="11"/>
  <c r="H161" i="11"/>
  <c r="M161" i="11" s="1"/>
  <c r="H160" i="11"/>
  <c r="H159" i="11"/>
  <c r="H158" i="11"/>
  <c r="H156" i="11"/>
  <c r="M156" i="11" s="1"/>
  <c r="H155" i="11"/>
  <c r="M155" i="11" s="1"/>
  <c r="H154" i="11"/>
  <c r="H153" i="11"/>
  <c r="M153" i="11" s="1"/>
  <c r="H152" i="11"/>
  <c r="L152" i="11" s="1"/>
  <c r="H151" i="11"/>
  <c r="M151" i="11" s="1"/>
  <c r="H149" i="11"/>
  <c r="H148" i="11"/>
  <c r="M148" i="11" s="1"/>
  <c r="H147" i="11"/>
  <c r="H146" i="11"/>
  <c r="L146" i="11" s="1"/>
  <c r="H145" i="11"/>
  <c r="M145" i="11" s="1"/>
  <c r="H143" i="11"/>
  <c r="L143" i="11" s="1"/>
  <c r="H142" i="11"/>
  <c r="H141" i="11"/>
  <c r="H140" i="11"/>
  <c r="M140" i="11" s="1"/>
  <c r="H139" i="11"/>
  <c r="H138" i="11"/>
  <c r="H136" i="11"/>
  <c r="M136" i="11" s="1"/>
  <c r="H135" i="11"/>
  <c r="L135" i="11" s="1"/>
  <c r="H134" i="11"/>
  <c r="H133" i="11"/>
  <c r="H132" i="11"/>
  <c r="L132" i="11" s="1"/>
  <c r="H131" i="11"/>
  <c r="H130" i="11"/>
  <c r="H128" i="11"/>
  <c r="H127" i="11"/>
  <c r="L127" i="11" s="1"/>
  <c r="H126" i="11"/>
  <c r="H125" i="11"/>
  <c r="H124" i="11"/>
  <c r="M124" i="11" s="1"/>
  <c r="H122" i="11"/>
  <c r="H121" i="11"/>
  <c r="H120" i="11"/>
  <c r="M120" i="11" s="1"/>
  <c r="H119" i="11"/>
  <c r="H118" i="11"/>
  <c r="L118" i="11" s="1"/>
  <c r="H116" i="11"/>
  <c r="M116" i="11" s="1"/>
  <c r="H115" i="11"/>
  <c r="L115" i="11" s="1"/>
  <c r="H114" i="11"/>
  <c r="M114" i="11" s="1"/>
  <c r="H113" i="11"/>
  <c r="M113" i="11" s="1"/>
  <c r="H112" i="11"/>
  <c r="L112" i="11" s="1"/>
  <c r="H111" i="11"/>
  <c r="H110" i="11"/>
  <c r="L110" i="11" s="1"/>
  <c r="H108" i="11"/>
  <c r="M108" i="11" s="1"/>
  <c r="H107" i="11"/>
  <c r="L107" i="11" s="1"/>
  <c r="H106" i="11"/>
  <c r="M106" i="11" s="1"/>
  <c r="H105" i="11"/>
  <c r="L105" i="11" s="1"/>
  <c r="H104" i="11"/>
  <c r="M104" i="11" s="1"/>
  <c r="H103" i="11"/>
  <c r="H101" i="11"/>
  <c r="M101" i="11" s="1"/>
  <c r="H100" i="11"/>
  <c r="H99" i="11"/>
  <c r="L99" i="11" s="1"/>
  <c r="H98" i="11"/>
  <c r="M98" i="11" s="1"/>
  <c r="H97" i="11"/>
  <c r="L97" i="11" s="1"/>
  <c r="H96" i="11"/>
  <c r="M96" i="11" s="1"/>
  <c r="H94" i="11"/>
  <c r="M94" i="11" s="1"/>
  <c r="H93" i="11"/>
  <c r="L93" i="11" s="1"/>
  <c r="H92" i="11"/>
  <c r="H91" i="11"/>
  <c r="L91" i="11" s="1"/>
  <c r="H90" i="11"/>
  <c r="M90" i="11" s="1"/>
  <c r="H89" i="11"/>
  <c r="L89" i="11" s="1"/>
  <c r="H87" i="11"/>
  <c r="M87" i="11" s="1"/>
  <c r="H86" i="11"/>
  <c r="L86" i="11" s="1"/>
  <c r="H85" i="11"/>
  <c r="L85" i="11" s="1"/>
  <c r="H84" i="11"/>
  <c r="H83" i="11"/>
  <c r="M83" i="11" s="1"/>
  <c r="H81" i="11"/>
  <c r="H80" i="11"/>
  <c r="L80" i="11" s="1"/>
  <c r="H79" i="11"/>
  <c r="M79" i="11" s="1"/>
  <c r="H78" i="11"/>
  <c r="L78" i="11" s="1"/>
  <c r="H77" i="11"/>
  <c r="M77" i="11" s="1"/>
  <c r="H75" i="11"/>
  <c r="M75" i="11" s="1"/>
  <c r="H74" i="11"/>
  <c r="L74" i="11" s="1"/>
  <c r="H72" i="11"/>
  <c r="H65" i="11"/>
  <c r="M65" i="11" s="1"/>
  <c r="H63" i="11"/>
  <c r="L63" i="11" s="1"/>
  <c r="H59" i="11"/>
  <c r="M59" i="11" s="1"/>
  <c r="H57" i="11"/>
  <c r="L57" i="11" s="1"/>
  <c r="H56" i="11"/>
  <c r="M56" i="11" s="1"/>
  <c r="H55" i="11"/>
  <c r="M55" i="11" s="1"/>
  <c r="M265" i="11" l="1"/>
  <c r="N265" i="11" s="1"/>
  <c r="M85" i="11"/>
  <c r="N85" i="11" s="1"/>
  <c r="M184" i="11"/>
  <c r="N184" i="11" s="1"/>
  <c r="L94" i="11"/>
  <c r="N94" i="11" s="1"/>
  <c r="M239" i="11"/>
  <c r="N239" i="11" s="1"/>
  <c r="M118" i="11"/>
  <c r="N118" i="11" s="1"/>
  <c r="M132" i="11"/>
  <c r="N132" i="11" s="1"/>
  <c r="L190" i="11"/>
  <c r="N190" i="11" s="1"/>
  <c r="L104" i="11"/>
  <c r="N104" i="11" s="1"/>
  <c r="L151" i="11"/>
  <c r="N151" i="11" s="1"/>
  <c r="M207" i="11"/>
  <c r="N207" i="11" s="1"/>
  <c r="L287" i="11"/>
  <c r="N287" i="11" s="1"/>
  <c r="M110" i="11"/>
  <c r="N110" i="11" s="1"/>
  <c r="M165" i="11"/>
  <c r="N165" i="11" s="1"/>
  <c r="L225" i="11"/>
  <c r="N225" i="11" s="1"/>
  <c r="L258" i="11"/>
  <c r="N258" i="11" s="1"/>
  <c r="L56" i="11"/>
  <c r="N56" i="11" s="1"/>
  <c r="L77" i="11"/>
  <c r="N77" i="11" s="1"/>
  <c r="L90" i="11"/>
  <c r="N90" i="11" s="1"/>
  <c r="L113" i="11"/>
  <c r="N113" i="11" s="1"/>
  <c r="L124" i="11"/>
  <c r="N124" i="11" s="1"/>
  <c r="L136" i="11"/>
  <c r="N136" i="11" s="1"/>
  <c r="M152" i="11"/>
  <c r="N152" i="11" s="1"/>
  <c r="L170" i="11"/>
  <c r="N170" i="11" s="1"/>
  <c r="L186" i="11"/>
  <c r="N186" i="11" s="1"/>
  <c r="L199" i="11"/>
  <c r="N199" i="11" s="1"/>
  <c r="M210" i="11"/>
  <c r="N210" i="11" s="1"/>
  <c r="L219" i="11"/>
  <c r="N219" i="11" s="1"/>
  <c r="M226" i="11"/>
  <c r="N226" i="11" s="1"/>
  <c r="L250" i="11"/>
  <c r="N250" i="11" s="1"/>
  <c r="M259" i="11"/>
  <c r="N259" i="11" s="1"/>
  <c r="L266" i="11"/>
  <c r="N266" i="11" s="1"/>
  <c r="L283" i="11"/>
  <c r="N283" i="11" s="1"/>
  <c r="M215" i="11"/>
  <c r="N215" i="11" s="1"/>
  <c r="M249" i="11"/>
  <c r="N249" i="11" s="1"/>
  <c r="M80" i="11"/>
  <c r="N80" i="11" s="1"/>
  <c r="L96" i="11"/>
  <c r="N96" i="11" s="1"/>
  <c r="L108" i="11"/>
  <c r="N108" i="11" s="1"/>
  <c r="M127" i="11"/>
  <c r="N127" i="11" s="1"/>
  <c r="M146" i="11"/>
  <c r="N146" i="11" s="1"/>
  <c r="L153" i="11"/>
  <c r="N153" i="11" s="1"/>
  <c r="L188" i="11"/>
  <c r="N188" i="11" s="1"/>
  <c r="M202" i="11"/>
  <c r="N202" i="11" s="1"/>
  <c r="L211" i="11"/>
  <c r="N211" i="11" s="1"/>
  <c r="M221" i="11"/>
  <c r="N221" i="11" s="1"/>
  <c r="L228" i="11"/>
  <c r="N228" i="11" s="1"/>
  <c r="L245" i="11"/>
  <c r="N245" i="11" s="1"/>
  <c r="L253" i="11"/>
  <c r="N253" i="11" s="1"/>
  <c r="L262" i="11"/>
  <c r="N262" i="11" s="1"/>
  <c r="L274" i="11"/>
  <c r="N274" i="11" s="1"/>
  <c r="L55" i="11"/>
  <c r="N55" i="11" s="1"/>
  <c r="L75" i="11"/>
  <c r="N75" i="11" s="1"/>
  <c r="M91" i="11"/>
  <c r="N91" i="11" s="1"/>
  <c r="M99" i="11"/>
  <c r="N99" i="11" s="1"/>
  <c r="L114" i="11"/>
  <c r="N114" i="11" s="1"/>
  <c r="L148" i="11"/>
  <c r="N148" i="11" s="1"/>
  <c r="L161" i="11"/>
  <c r="N161" i="11" s="1"/>
  <c r="L174" i="11"/>
  <c r="N174" i="11" s="1"/>
  <c r="M189" i="11"/>
  <c r="N189" i="11" s="1"/>
  <c r="L223" i="11"/>
  <c r="N223" i="11" s="1"/>
  <c r="L236" i="11"/>
  <c r="N236" i="11" s="1"/>
  <c r="L264" i="11"/>
  <c r="N264" i="11" s="1"/>
  <c r="M278" i="11"/>
  <c r="N278" i="11" s="1"/>
  <c r="M286" i="11"/>
  <c r="N286" i="11" s="1"/>
  <c r="M81" i="11"/>
  <c r="L81" i="11"/>
  <c r="M100" i="11"/>
  <c r="L100" i="11"/>
  <c r="M119" i="11"/>
  <c r="L119" i="11"/>
  <c r="M128" i="11"/>
  <c r="L128" i="11"/>
  <c r="L133" i="11"/>
  <c r="M133" i="11"/>
  <c r="M138" i="11"/>
  <c r="L138" i="11"/>
  <c r="M142" i="11"/>
  <c r="L142" i="11"/>
  <c r="M147" i="11"/>
  <c r="L147" i="11"/>
  <c r="M166" i="11"/>
  <c r="L166" i="11"/>
  <c r="L171" i="11"/>
  <c r="M171" i="11"/>
  <c r="M176" i="11"/>
  <c r="L176" i="11"/>
  <c r="M180" i="11"/>
  <c r="L180" i="11"/>
  <c r="M185" i="11"/>
  <c r="L185" i="11"/>
  <c r="M203" i="11"/>
  <c r="L203" i="11"/>
  <c r="L208" i="11"/>
  <c r="M208" i="11"/>
  <c r="M212" i="11"/>
  <c r="L212" i="11"/>
  <c r="M217" i="11"/>
  <c r="L217" i="11"/>
  <c r="M222" i="11"/>
  <c r="L222" i="11"/>
  <c r="M242" i="11"/>
  <c r="L242" i="11"/>
  <c r="L246" i="11"/>
  <c r="M246" i="11"/>
  <c r="M251" i="11"/>
  <c r="L251" i="11"/>
  <c r="M256" i="11"/>
  <c r="L256" i="11"/>
  <c r="M260" i="11"/>
  <c r="L260" i="11"/>
  <c r="M279" i="11"/>
  <c r="L279" i="11"/>
  <c r="L284" i="11"/>
  <c r="M284" i="11"/>
  <c r="M288" i="11"/>
  <c r="L288" i="11"/>
  <c r="M57" i="11"/>
  <c r="N57" i="11" s="1"/>
  <c r="M63" i="11"/>
  <c r="N63" i="11" s="1"/>
  <c r="M74" i="11"/>
  <c r="N74" i="11" s="1"/>
  <c r="M78" i="11"/>
  <c r="N78" i="11" s="1"/>
  <c r="L83" i="11"/>
  <c r="N83" i="11" s="1"/>
  <c r="M86" i="11"/>
  <c r="N86" i="11" s="1"/>
  <c r="M93" i="11"/>
  <c r="N93" i="11" s="1"/>
  <c r="M97" i="11"/>
  <c r="N97" i="11" s="1"/>
  <c r="L101" i="11"/>
  <c r="N101" i="11" s="1"/>
  <c r="M105" i="11"/>
  <c r="N105" i="11" s="1"/>
  <c r="M112" i="11"/>
  <c r="N112" i="11" s="1"/>
  <c r="M115" i="11"/>
  <c r="N115" i="11" s="1"/>
  <c r="L120" i="11"/>
  <c r="N120" i="11" s="1"/>
  <c r="M135" i="11"/>
  <c r="N135" i="11" s="1"/>
  <c r="M143" i="11"/>
  <c r="N143" i="11" s="1"/>
  <c r="L156" i="11"/>
  <c r="N156" i="11" s="1"/>
  <c r="M173" i="11"/>
  <c r="N173" i="11" s="1"/>
  <c r="M181" i="11"/>
  <c r="N181" i="11" s="1"/>
  <c r="L194" i="11"/>
  <c r="N194" i="11" s="1"/>
  <c r="M218" i="11"/>
  <c r="N218" i="11" s="1"/>
  <c r="L231" i="11"/>
  <c r="N231" i="11" s="1"/>
  <c r="M257" i="11"/>
  <c r="N257" i="11" s="1"/>
  <c r="L270" i="11"/>
  <c r="N270" i="11" s="1"/>
  <c r="M84" i="11"/>
  <c r="L84" i="11"/>
  <c r="M103" i="11"/>
  <c r="L103" i="11"/>
  <c r="M121" i="11"/>
  <c r="L121" i="11"/>
  <c r="M126" i="11"/>
  <c r="L126" i="11"/>
  <c r="M131" i="11"/>
  <c r="L131" i="11"/>
  <c r="M149" i="11"/>
  <c r="L149" i="11"/>
  <c r="L154" i="11"/>
  <c r="M154" i="11"/>
  <c r="M159" i="11"/>
  <c r="L159" i="11"/>
  <c r="M164" i="11"/>
  <c r="L164" i="11"/>
  <c r="M168" i="11"/>
  <c r="L168" i="11"/>
  <c r="M187" i="11"/>
  <c r="L187" i="11"/>
  <c r="L192" i="11"/>
  <c r="M192" i="11"/>
  <c r="M196" i="11"/>
  <c r="L196" i="11"/>
  <c r="M201" i="11"/>
  <c r="L201" i="11"/>
  <c r="M89" i="11"/>
  <c r="N89" i="11" s="1"/>
  <c r="M107" i="11"/>
  <c r="N107" i="11" s="1"/>
  <c r="L140" i="11"/>
  <c r="N140" i="11" s="1"/>
  <c r="L178" i="11"/>
  <c r="N178" i="11" s="1"/>
  <c r="M72" i="11"/>
  <c r="L72" i="11"/>
  <c r="M92" i="11"/>
  <c r="L92" i="11"/>
  <c r="M111" i="11"/>
  <c r="L111" i="11"/>
  <c r="L125" i="11"/>
  <c r="M125" i="11"/>
  <c r="M130" i="11"/>
  <c r="L130" i="11"/>
  <c r="M134" i="11"/>
  <c r="L134" i="11"/>
  <c r="M139" i="11"/>
  <c r="L139" i="11"/>
  <c r="M158" i="11"/>
  <c r="L158" i="11"/>
  <c r="L162" i="11"/>
  <c r="M162" i="11"/>
  <c r="M167" i="11"/>
  <c r="L167" i="11"/>
  <c r="M172" i="11"/>
  <c r="L172" i="11"/>
  <c r="M177" i="11"/>
  <c r="L177" i="11"/>
  <c r="M195" i="11"/>
  <c r="L195" i="11"/>
  <c r="L200" i="11"/>
  <c r="M200" i="11"/>
  <c r="M204" i="11"/>
  <c r="L204" i="11"/>
  <c r="M209" i="11"/>
  <c r="L209" i="11"/>
  <c r="M214" i="11"/>
  <c r="L214" i="11"/>
  <c r="M232" i="11"/>
  <c r="L232" i="11"/>
  <c r="L237" i="11"/>
  <c r="M237" i="11"/>
  <c r="M243" i="11"/>
  <c r="L243" i="11"/>
  <c r="M248" i="11"/>
  <c r="L248" i="11"/>
  <c r="M252" i="11"/>
  <c r="L252" i="11"/>
  <c r="M271" i="11"/>
  <c r="L271" i="11"/>
  <c r="L276" i="11"/>
  <c r="M276" i="11"/>
  <c r="M280" i="11"/>
  <c r="L280" i="11"/>
  <c r="M285" i="11"/>
  <c r="L285" i="11"/>
  <c r="L59" i="11"/>
  <c r="N59" i="11" s="1"/>
  <c r="L65" i="11"/>
  <c r="N65" i="11" s="1"/>
  <c r="L79" i="11"/>
  <c r="N79" i="11" s="1"/>
  <c r="L87" i="11"/>
  <c r="N87" i="11" s="1"/>
  <c r="L98" i="11"/>
  <c r="N98" i="11" s="1"/>
  <c r="L106" i="11"/>
  <c r="N106" i="11" s="1"/>
  <c r="L116" i="11"/>
  <c r="N116" i="11" s="1"/>
  <c r="L145" i="11"/>
  <c r="N145" i="11" s="1"/>
  <c r="L183" i="11"/>
  <c r="N183" i="11" s="1"/>
  <c r="M206" i="11"/>
  <c r="L206" i="11"/>
  <c r="M224" i="11"/>
  <c r="L224" i="11"/>
  <c r="M244" i="11"/>
  <c r="L244" i="11"/>
  <c r="M263" i="11"/>
  <c r="L263" i="11"/>
  <c r="M281" i="11"/>
  <c r="L281" i="11"/>
  <c r="M229" i="11"/>
  <c r="N229" i="11" s="1"/>
  <c r="L234" i="11"/>
  <c r="N234" i="11" s="1"/>
  <c r="M267" i="11"/>
  <c r="N267" i="11" s="1"/>
  <c r="L272" i="11"/>
  <c r="N272" i="11" s="1"/>
  <c r="M122" i="11"/>
  <c r="L122" i="11"/>
  <c r="M141" i="11"/>
  <c r="L141" i="11"/>
  <c r="M160" i="11"/>
  <c r="L160" i="11"/>
  <c r="M179" i="11"/>
  <c r="L179" i="11"/>
  <c r="M197" i="11"/>
  <c r="L197" i="11"/>
  <c r="M216" i="11"/>
  <c r="L216" i="11"/>
  <c r="M235" i="11"/>
  <c r="L235" i="11"/>
  <c r="M255" i="11"/>
  <c r="L255" i="11"/>
  <c r="M273" i="11"/>
  <c r="L273" i="11"/>
  <c r="L155" i="11"/>
  <c r="N155" i="11" s="1"/>
  <c r="L193" i="11"/>
  <c r="N193" i="11" s="1"/>
  <c r="L230" i="11"/>
  <c r="N230" i="11" s="1"/>
  <c r="L238" i="11"/>
  <c r="N238" i="11" s="1"/>
  <c r="L269" i="11"/>
  <c r="N269" i="11" s="1"/>
  <c r="L277" i="11"/>
  <c r="N277" i="11" s="1"/>
  <c r="N72" i="11" l="1"/>
  <c r="N147" i="11"/>
  <c r="N138" i="11"/>
  <c r="N128" i="11"/>
  <c r="N255" i="11"/>
  <c r="N216" i="11"/>
  <c r="N179" i="11"/>
  <c r="N141" i="11"/>
  <c r="N252" i="11"/>
  <c r="N243" i="11"/>
  <c r="N232" i="11"/>
  <c r="N209" i="11"/>
  <c r="N260" i="11"/>
  <c r="N251" i="11"/>
  <c r="N242" i="11"/>
  <c r="N280" i="11"/>
  <c r="N271" i="11"/>
  <c r="N214" i="11"/>
  <c r="N204" i="11"/>
  <c r="N195" i="11"/>
  <c r="N139" i="11"/>
  <c r="N130" i="11"/>
  <c r="N134" i="11"/>
  <c r="N154" i="11"/>
  <c r="N288" i="11"/>
  <c r="N279" i="11"/>
  <c r="N217" i="11"/>
  <c r="N81" i="11"/>
  <c r="N180" i="11"/>
  <c r="N201" i="11"/>
  <c r="N284" i="11"/>
  <c r="N133" i="11"/>
  <c r="N224" i="11"/>
  <c r="N285" i="11"/>
  <c r="N237" i="11"/>
  <c r="N172" i="11"/>
  <c r="N92" i="11"/>
  <c r="N131" i="11"/>
  <c r="N121" i="11"/>
  <c r="N256" i="11"/>
  <c r="N185" i="11"/>
  <c r="N176" i="11"/>
  <c r="N166" i="11"/>
  <c r="N100" i="11"/>
  <c r="N276" i="11"/>
  <c r="N125" i="11"/>
  <c r="N244" i="11"/>
  <c r="N168" i="11"/>
  <c r="N159" i="11"/>
  <c r="N149" i="11"/>
  <c r="N171" i="11"/>
  <c r="N263" i="11"/>
  <c r="N162" i="11"/>
  <c r="N196" i="11"/>
  <c r="N187" i="11"/>
  <c r="N126" i="11"/>
  <c r="N84" i="11"/>
  <c r="N208" i="11"/>
  <c r="N273" i="11"/>
  <c r="N235" i="11"/>
  <c r="N197" i="11"/>
  <c r="N160" i="11"/>
  <c r="N122" i="11"/>
  <c r="N281" i="11"/>
  <c r="N206" i="11"/>
  <c r="N248" i="11"/>
  <c r="N200" i="11"/>
  <c r="N177" i="11"/>
  <c r="N167" i="11"/>
  <c r="N158" i="11"/>
  <c r="N111" i="11"/>
  <c r="N192" i="11"/>
  <c r="N164" i="11"/>
  <c r="N103" i="11"/>
  <c r="N246" i="11"/>
  <c r="N222" i="11"/>
  <c r="N212" i="11"/>
  <c r="N203" i="11"/>
  <c r="N142" i="11"/>
  <c r="N119" i="11"/>
  <c r="F69" i="11" l="1"/>
  <c r="F68" i="11"/>
  <c r="F67" i="11"/>
  <c r="F61" i="11"/>
  <c r="G50" i="11"/>
  <c r="H50" i="11" s="1"/>
  <c r="M50" i="11" s="1"/>
  <c r="H68" i="11" l="1"/>
  <c r="M68" i="11" s="1"/>
  <c r="H69" i="11"/>
  <c r="L69" i="11" s="1"/>
  <c r="H67" i="11"/>
  <c r="L67" i="11" s="1"/>
  <c r="H61" i="11"/>
  <c r="M61" i="11" s="1"/>
  <c r="L50" i="11"/>
  <c r="N50" i="11" s="1"/>
  <c r="A30" i="11"/>
  <c r="N54" i="11"/>
  <c r="M54" i="11"/>
  <c r="L54" i="11"/>
  <c r="M67" i="11" l="1"/>
  <c r="N67" i="11" s="1"/>
  <c r="L61" i="11"/>
  <c r="N61" i="11" s="1"/>
  <c r="M69" i="11"/>
  <c r="N69" i="11" s="1"/>
  <c r="L68" i="11"/>
  <c r="N68" i="11" s="1"/>
  <c r="G42" i="11" l="1"/>
  <c r="H42" i="11" s="1"/>
  <c r="G43" i="11"/>
  <c r="H43" i="11" s="1"/>
  <c r="G44" i="11"/>
  <c r="H44" i="11" s="1"/>
  <c r="G45" i="11"/>
  <c r="H45" i="11" s="1"/>
  <c r="G46" i="11"/>
  <c r="H46" i="11" s="1"/>
  <c r="G47" i="11"/>
  <c r="H47" i="11" s="1"/>
  <c r="G48" i="11"/>
  <c r="H48" i="11" s="1"/>
  <c r="G49" i="11"/>
  <c r="H49" i="11" s="1"/>
  <c r="L49" i="11" l="1"/>
  <c r="M49" i="11"/>
  <c r="M44" i="11"/>
  <c r="L44" i="11"/>
  <c r="L47" i="11"/>
  <c r="M47" i="11"/>
  <c r="M43" i="11"/>
  <c r="L43" i="11"/>
  <c r="M45" i="11"/>
  <c r="L45" i="11"/>
  <c r="M48" i="11"/>
  <c r="L48" i="11"/>
  <c r="M46" i="11"/>
  <c r="L46" i="11"/>
  <c r="M42" i="11"/>
  <c r="L42" i="11"/>
  <c r="N48" i="11" l="1"/>
  <c r="N43" i="11"/>
  <c r="N44" i="11"/>
  <c r="N47" i="11"/>
  <c r="N49" i="11"/>
  <c r="N42" i="11"/>
  <c r="N46" i="11"/>
  <c r="N45" i="11"/>
  <c r="O40" i="11" l="1"/>
  <c r="N460" i="11"/>
  <c r="N19" i="11"/>
  <c r="A28" i="11" l="1"/>
  <c r="A29" i="11"/>
  <c r="A31" i="11"/>
  <c r="A42" i="11" l="1"/>
  <c r="A43" i="11" l="1"/>
  <c r="N462" i="11" l="1"/>
  <c r="N461" i="11"/>
  <c r="A44" i="11"/>
  <c r="N11" i="11" l="1"/>
  <c r="N32" i="11" s="1"/>
  <c r="O460" i="11"/>
  <c r="N463" i="11"/>
  <c r="A45" i="11"/>
  <c r="A46" i="11" l="1"/>
  <c r="A47" i="11" s="1"/>
  <c r="N33" i="11"/>
  <c r="J4" i="11"/>
  <c r="N34" i="11"/>
  <c r="O462" i="11"/>
  <c r="O461" i="11"/>
  <c r="A48" i="11" l="1"/>
  <c r="A49" i="11" s="1"/>
  <c r="N35" i="11"/>
  <c r="O463" i="11"/>
  <c r="J5" i="11"/>
  <c r="J6" i="11" s="1"/>
  <c r="A50" i="11" l="1"/>
  <c r="A51" i="11" s="1"/>
  <c r="A52" i="11" s="1"/>
  <c r="A55" i="11" l="1"/>
  <c r="A56" i="11" s="1"/>
  <c r="A57" i="11" s="1"/>
  <c r="A59" i="11" s="1"/>
  <c r="A61" i="11" s="1"/>
  <c r="A63" i="11" s="1"/>
  <c r="A65" i="11" s="1"/>
  <c r="A67" i="11" s="1"/>
  <c r="A68" i="11" s="1"/>
  <c r="A69" i="11" s="1"/>
  <c r="A72" i="11" s="1"/>
  <c r="A74" i="11" s="1"/>
  <c r="A75" i="11" s="1"/>
  <c r="A77" i="11" s="1"/>
  <c r="A78" i="11" s="1"/>
  <c r="A79" i="11" s="1"/>
  <c r="A80" i="11" s="1"/>
  <c r="A81" i="11" s="1"/>
  <c r="A83" i="11" s="1"/>
  <c r="A84" i="11" s="1"/>
  <c r="A85" i="11" s="1"/>
  <c r="A86" i="11" s="1"/>
  <c r="A87" i="11" s="1"/>
  <c r="A89" i="11" s="1"/>
  <c r="A90" i="11" s="1"/>
  <c r="A91" i="11" s="1"/>
  <c r="A92" i="11" s="1"/>
  <c r="A93" i="11" s="1"/>
  <c r="A94" i="11" s="1"/>
  <c r="A96" i="11" s="1"/>
  <c r="A97" i="11" s="1"/>
  <c r="A98" i="11" s="1"/>
  <c r="A99" i="11" s="1"/>
  <c r="A100" i="11" s="1"/>
  <c r="A101" i="11" s="1"/>
  <c r="A103" i="11" s="1"/>
  <c r="A104" i="11" s="1"/>
  <c r="A105" i="11" s="1"/>
  <c r="A106" i="11" s="1"/>
  <c r="A107" i="11" s="1"/>
  <c r="A108" i="11" s="1"/>
  <c r="A110" i="11" s="1"/>
  <c r="A111" i="11" s="1"/>
  <c r="A112" i="11" s="1"/>
  <c r="A113" i="11" s="1"/>
  <c r="A114" i="11" s="1"/>
  <c r="A115" i="11" s="1"/>
  <c r="A116" i="11" s="1"/>
  <c r="A118" i="11" s="1"/>
  <c r="A119" i="11" s="1"/>
  <c r="A120" i="11" s="1"/>
  <c r="A121" i="11" s="1"/>
  <c r="A122" i="11" s="1"/>
  <c r="A124" i="11" s="1"/>
  <c r="A125" i="11" s="1"/>
  <c r="A126" i="11" s="1"/>
  <c r="A127" i="11" s="1"/>
  <c r="A128" i="11" s="1"/>
  <c r="A130" i="11" s="1"/>
  <c r="A131" i="11" s="1"/>
  <c r="A132" i="11" s="1"/>
  <c r="A133" i="11" s="1"/>
  <c r="A134" i="11" s="1"/>
  <c r="A135" i="11" s="1"/>
  <c r="A136" i="11" s="1"/>
  <c r="A138" i="11" s="1"/>
  <c r="A139" i="11" s="1"/>
  <c r="A140" i="11" s="1"/>
  <c r="A141" i="11" s="1"/>
  <c r="A142" i="11" s="1"/>
  <c r="A143" i="11" s="1"/>
  <c r="A145" i="11" s="1"/>
  <c r="A146" i="11" s="1"/>
  <c r="A147" i="11" s="1"/>
  <c r="A148" i="11" s="1"/>
  <c r="A149" i="11" s="1"/>
  <c r="A151" i="11" s="1"/>
  <c r="A152" i="11" s="1"/>
  <c r="A153" i="11" s="1"/>
  <c r="A154" i="11" s="1"/>
  <c r="A155" i="11" s="1"/>
  <c r="A156" i="11" s="1"/>
  <c r="A158" i="11" s="1"/>
  <c r="A159" i="11" s="1"/>
  <c r="A160" i="11" s="1"/>
  <c r="A161" i="11" s="1"/>
  <c r="A162" i="11" s="1"/>
  <c r="A164" i="11" s="1"/>
  <c r="A165" i="11" s="1"/>
  <c r="A166" i="11" s="1"/>
  <c r="A167" i="11" s="1"/>
  <c r="A168" i="11" s="1"/>
  <c r="A170" i="11" s="1"/>
  <c r="A171" i="11" s="1"/>
  <c r="A172" i="11" s="1"/>
  <c r="A173" i="11" s="1"/>
  <c r="A174" i="11" s="1"/>
  <c r="A176" i="11" s="1"/>
  <c r="A177" i="11" s="1"/>
  <c r="A178" i="11" s="1"/>
  <c r="A179" i="11" s="1"/>
  <c r="A180" i="11" s="1"/>
  <c r="A181" i="11" s="1"/>
  <c r="A183" i="11" s="1"/>
  <c r="A184" i="11" s="1"/>
  <c r="A185" i="11" s="1"/>
  <c r="A186" i="11" s="1"/>
  <c r="A187" i="11" s="1"/>
  <c r="A188" i="11" s="1"/>
  <c r="A189" i="11" s="1"/>
  <c r="A190" i="11" s="1"/>
  <c r="A192" i="11" s="1"/>
  <c r="A193" i="11" s="1"/>
  <c r="A194" i="11" s="1"/>
  <c r="A195" i="11" s="1"/>
  <c r="A196" i="11" s="1"/>
  <c r="A197" i="11" s="1"/>
  <c r="A199" i="11" s="1"/>
  <c r="A200" i="11" s="1"/>
  <c r="A201" i="11" s="1"/>
  <c r="A202" i="11" s="1"/>
  <c r="A203" i="11" s="1"/>
  <c r="A204" i="11" s="1"/>
  <c r="A206" i="11" s="1"/>
  <c r="A207" i="11" s="1"/>
  <c r="A208" i="11" s="1"/>
  <c r="A209" i="11" s="1"/>
  <c r="A210" i="11" s="1"/>
  <c r="A211" i="11" s="1"/>
  <c r="A212" i="11" s="1"/>
  <c r="A214" i="11" s="1"/>
  <c r="A215" i="11" s="1"/>
  <c r="A216" i="11" s="1"/>
  <c r="A217" i="11" s="1"/>
  <c r="A218" i="11" s="1"/>
  <c r="A219" i="11" s="1"/>
  <c r="A221" i="11" s="1"/>
  <c r="A222" i="11" s="1"/>
  <c r="A223" i="11" s="1"/>
  <c r="A224" i="11" s="1"/>
  <c r="A225" i="11" s="1"/>
  <c r="A226" i="11" s="1"/>
  <c r="A228" i="11" s="1"/>
  <c r="A229" i="11" s="1"/>
  <c r="A230" i="11" s="1"/>
  <c r="A231" i="11" s="1"/>
  <c r="A232" i="11" s="1"/>
  <c r="A234" i="11" s="1"/>
  <c r="A235" i="11" s="1"/>
  <c r="A236" i="11" s="1"/>
  <c r="A237" i="11" s="1"/>
  <c r="A238" i="11" s="1"/>
  <c r="A239" i="11" s="1"/>
  <c r="A242" i="11" s="1"/>
  <c r="A243" i="11" s="1"/>
  <c r="A244" i="11" s="1"/>
  <c r="A245" i="11" s="1"/>
  <c r="A246" i="11" s="1"/>
  <c r="A248" i="11" s="1"/>
  <c r="A249" i="11" s="1"/>
  <c r="A250" i="11" s="1"/>
  <c r="A251" i="11" s="1"/>
  <c r="A252" i="11" s="1"/>
  <c r="A253" i="11" s="1"/>
  <c r="A255" i="11" s="1"/>
  <c r="A256" i="11" s="1"/>
  <c r="A257" i="11" s="1"/>
  <c r="A258" i="11" s="1"/>
  <c r="A259" i="11" s="1"/>
  <c r="A260" i="11" s="1"/>
  <c r="A262" i="11" s="1"/>
  <c r="A263" i="11" s="1"/>
  <c r="A264" i="11" s="1"/>
  <c r="A265" i="11" s="1"/>
  <c r="A266" i="11" s="1"/>
  <c r="A267" i="11" s="1"/>
  <c r="A269" i="11" s="1"/>
  <c r="A270" i="11" s="1"/>
  <c r="A271" i="11" s="1"/>
  <c r="A272" i="11" s="1"/>
  <c r="A273" i="11" s="1"/>
  <c r="A274" i="11" s="1"/>
  <c r="A276" i="11" s="1"/>
  <c r="A277" i="11" s="1"/>
  <c r="A278" i="11" s="1"/>
  <c r="A279" i="11" s="1"/>
  <c r="A280" i="11" s="1"/>
  <c r="A281" i="11" s="1"/>
  <c r="A283" i="11" s="1"/>
  <c r="A284" i="11" s="1"/>
  <c r="A285" i="11" s="1"/>
  <c r="A286" i="11" s="1"/>
  <c r="A287" i="11" s="1"/>
  <c r="A288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1" i="11" s="1"/>
  <c r="A302" i="11" s="1"/>
  <c r="A303" i="11" s="1"/>
  <c r="A304" i="11" s="1"/>
  <c r="A305" i="11" s="1"/>
  <c r="A306" i="11" s="1"/>
  <c r="A307" i="11" s="1"/>
  <c r="A308" i="11" s="1"/>
  <c r="A309" i="11" s="1"/>
  <c r="A310" i="11" s="1"/>
  <c r="A312" i="11" s="1"/>
  <c r="A313" i="11" s="1"/>
  <c r="A314" i="11" s="1"/>
  <c r="A315" i="11" s="1"/>
  <c r="A316" i="11" s="1"/>
  <c r="A317" i="11" s="1"/>
  <c r="A318" i="11" s="1"/>
  <c r="A319" i="11" s="1"/>
  <c r="A320" i="11" s="1"/>
  <c r="A322" i="11" s="1"/>
  <c r="A323" i="11" s="1"/>
  <c r="A324" i="11" s="1"/>
  <c r="A325" i="11" s="1"/>
  <c r="A326" i="11" s="1"/>
  <c r="A327" i="11" s="1"/>
  <c r="A328" i="11" s="1"/>
  <c r="A329" i="11" s="1"/>
  <c r="A330" i="11" s="1"/>
  <c r="A332" i="11" s="1"/>
  <c r="A333" i="11" s="1"/>
  <c r="A334" i="11" s="1"/>
  <c r="A335" i="11" s="1"/>
  <c r="A336" i="11" s="1"/>
  <c r="A337" i="11" s="1"/>
  <c r="A338" i="11" s="1"/>
  <c r="A340" i="11" s="1"/>
  <c r="A341" i="11" s="1"/>
  <c r="A342" i="11" s="1"/>
  <c r="A343" i="11" s="1"/>
  <c r="A344" i="11" s="1"/>
  <c r="A346" i="11" s="1"/>
  <c r="A347" i="11" s="1"/>
  <c r="A348" i="11" s="1"/>
  <c r="A349" i="11" s="1"/>
  <c r="A350" i="11" s="1"/>
  <c r="A351" i="11" s="1"/>
  <c r="A353" i="11" s="1"/>
  <c r="A354" i="11" s="1"/>
  <c r="A355" i="11" s="1"/>
  <c r="A356" i="11" s="1"/>
  <c r="A357" i="11" s="1"/>
  <c r="A358" i="11" s="1"/>
  <c r="A360" i="11" s="1"/>
  <c r="A361" i="11" s="1"/>
  <c r="A362" i="11" s="1"/>
  <c r="A363" i="11" s="1"/>
  <c r="A364" i="11" s="1"/>
  <c r="A365" i="11" s="1"/>
  <c r="A367" i="11" s="1"/>
  <c r="A368" i="11" s="1"/>
  <c r="A369" i="11" s="1"/>
  <c r="A370" i="11" s="1"/>
  <c r="A371" i="11" s="1"/>
  <c r="A372" i="11" s="1"/>
  <c r="A373" i="11" s="1"/>
  <c r="A374" i="11" s="1"/>
  <c r="A376" i="11" s="1"/>
  <c r="A377" i="11" s="1"/>
  <c r="A378" i="11" s="1"/>
  <c r="A379" i="11" s="1"/>
  <c r="A380" i="11" s="1"/>
  <c r="A381" i="11" s="1"/>
  <c r="A382" i="11" s="1"/>
  <c r="A383" i="11" s="1"/>
  <c r="A384" i="11" s="1"/>
  <c r="A386" i="11" s="1"/>
  <c r="A387" i="11" s="1"/>
  <c r="A388" i="11" s="1"/>
  <c r="A389" i="11" s="1"/>
  <c r="A390" i="11" s="1"/>
  <c r="A391" i="11" s="1"/>
  <c r="A392" i="11" s="1"/>
  <c r="A393" i="11" s="1"/>
  <c r="A395" i="11" s="1"/>
  <c r="A396" i="11" s="1"/>
  <c r="A397" i="11" s="1"/>
  <c r="A398" i="11" s="1"/>
  <c r="A399" i="11" s="1"/>
  <c r="A400" i="11" s="1"/>
  <c r="A402" i="11" s="1"/>
  <c r="A404" i="11" s="1"/>
  <c r="A405" i="11" s="1"/>
  <c r="A406" i="11" s="1"/>
  <c r="A407" i="11" s="1"/>
  <c r="A408" i="11" s="1"/>
  <c r="A410" i="11" s="1"/>
  <c r="A411" i="11" s="1"/>
  <c r="A412" i="11" s="1"/>
  <c r="A413" i="11" s="1"/>
  <c r="A414" i="11" s="1"/>
  <c r="A416" i="11" s="1"/>
  <c r="A417" i="11" s="1"/>
  <c r="A418" i="11" s="1"/>
  <c r="A419" i="11" s="1"/>
  <c r="A420" i="11" s="1"/>
  <c r="A422" i="11" s="1"/>
  <c r="A423" i="11" s="1"/>
  <c r="A424" i="11" s="1"/>
  <c r="A425" i="11" s="1"/>
  <c r="A426" i="11" s="1"/>
  <c r="A428" i="11" s="1"/>
  <c r="A429" i="11" s="1"/>
  <c r="A430" i="11" s="1"/>
  <c r="A431" i="11" s="1"/>
  <c r="A432" i="11" s="1"/>
  <c r="A433" i="11" s="1"/>
  <c r="A434" i="11" s="1"/>
  <c r="A435" i="11" s="1"/>
  <c r="A437" i="11" s="1"/>
  <c r="A438" i="11" s="1"/>
  <c r="A439" i="11" s="1"/>
  <c r="A440" i="11" s="1"/>
  <c r="A441" i="11" s="1"/>
  <c r="A443" i="11" s="1"/>
  <c r="A444" i="11" s="1"/>
  <c r="A445" i="11" s="1"/>
  <c r="A446" i="11" s="1"/>
  <c r="A447" i="11" s="1"/>
  <c r="A448" i="11" s="1"/>
  <c r="A449" i="11" s="1"/>
  <c r="A451" i="11" s="1"/>
  <c r="A452" i="11" s="1"/>
  <c r="A453" i="11" s="1"/>
  <c r="A454" i="11" s="1"/>
  <c r="A455" i="11" s="1"/>
  <c r="A457" i="11" s="1"/>
  <c r="A458" i="11" s="1"/>
  <c r="A459" i="11" s="1"/>
</calcChain>
</file>

<file path=xl/sharedStrings.xml><?xml version="1.0" encoding="utf-8"?>
<sst xmlns="http://schemas.openxmlformats.org/spreadsheetml/2006/main" count="849" uniqueCount="308">
  <si>
    <t>UNIT</t>
  </si>
  <si>
    <t>DESCRIPTION</t>
  </si>
  <si>
    <t>TRADE COST</t>
  </si>
  <si>
    <t>ITEM #</t>
  </si>
  <si>
    <t>QTY.</t>
  </si>
  <si>
    <t>SUB TOTAL</t>
  </si>
  <si>
    <t>TOTAL BASE BID</t>
  </si>
  <si>
    <t>OVERHEAD AND PROFIT</t>
  </si>
  <si>
    <t>INSURANCE</t>
  </si>
  <si>
    <t>GENERAL</t>
  </si>
  <si>
    <t>Permit</t>
  </si>
  <si>
    <t>Supervision</t>
  </si>
  <si>
    <t>Estimate of Materials and Cost of Construction</t>
  </si>
  <si>
    <t>Summary</t>
  </si>
  <si>
    <t>Amount</t>
  </si>
  <si>
    <t>Date:</t>
  </si>
  <si>
    <t>Project:</t>
  </si>
  <si>
    <t>Project Location:</t>
  </si>
  <si>
    <t>REF. SHEET</t>
  </si>
  <si>
    <t>CSI SECT</t>
  </si>
  <si>
    <t>QTY WITH
WASTAGE</t>
  </si>
  <si>
    <t>WASTAGE</t>
  </si>
  <si>
    <t>Final Cleanup</t>
  </si>
  <si>
    <t>Mobilization Cost</t>
  </si>
  <si>
    <t>Project Overheads</t>
  </si>
  <si>
    <t>Bonds</t>
  </si>
  <si>
    <t>Fees (Architect &amp; Engineer)</t>
  </si>
  <si>
    <t>Temporary Control &amp; Facilities</t>
  </si>
  <si>
    <t>DETAIL</t>
  </si>
  <si>
    <t>LS</t>
  </si>
  <si>
    <t>DIV-01</t>
  </si>
  <si>
    <t>FINISHES</t>
  </si>
  <si>
    <t>DIV-09</t>
  </si>
  <si>
    <t>FURNISHINGS</t>
  </si>
  <si>
    <t>DIV-12</t>
  </si>
  <si>
    <t>DIV-05</t>
  </si>
  <si>
    <t>METALS</t>
  </si>
  <si>
    <t>EXTERIOR IMPROVEMENTS</t>
  </si>
  <si>
    <t>DIV-32</t>
  </si>
  <si>
    <t>DIV-21</t>
  </si>
  <si>
    <t>FIRE SUPPRESSION</t>
  </si>
  <si>
    <t>DIV-03</t>
  </si>
  <si>
    <t>CONCRETE</t>
  </si>
  <si>
    <t>OPENINGS</t>
  </si>
  <si>
    <t>DIV-08</t>
  </si>
  <si>
    <t>DIV-22</t>
  </si>
  <si>
    <t>PLUMBING</t>
  </si>
  <si>
    <t>DIV-23</t>
  </si>
  <si>
    <t>(HVAC) HEATING VENTILATING &amp; AIR CONDITIONING</t>
  </si>
  <si>
    <t>ELECTRICAL</t>
  </si>
  <si>
    <t>DIV-26</t>
  </si>
  <si>
    <t>DIV-06</t>
  </si>
  <si>
    <t>WOOD, PLASTICS &amp; COMPOSITES</t>
  </si>
  <si>
    <t>DIV-02</t>
  </si>
  <si>
    <t>SELECTIVE REMOVALS AND DEMOLITIONS</t>
  </si>
  <si>
    <t>EARTHWORK</t>
  </si>
  <si>
    <t>DIV-31</t>
  </si>
  <si>
    <t>TOTAL ITEM COST</t>
  </si>
  <si>
    <t>Detailed Estimate</t>
  </si>
  <si>
    <t>DIV-14</t>
  </si>
  <si>
    <t>CONVEYING EQUIPMENT</t>
  </si>
  <si>
    <t>DIV-04</t>
  </si>
  <si>
    <t>UNIT MASONRY</t>
  </si>
  <si>
    <t>DIV-07</t>
  </si>
  <si>
    <t>THERMAL AND MOISTURE PROTECTION</t>
  </si>
  <si>
    <t>DIV-10</t>
  </si>
  <si>
    <t>SPECIALTIES</t>
  </si>
  <si>
    <t>DIV-11</t>
  </si>
  <si>
    <t>EQUIPMENTS</t>
  </si>
  <si>
    <t>DIV-13</t>
  </si>
  <si>
    <t>TOTAL</t>
  </si>
  <si>
    <t>UNIT MATERIAL COST</t>
  </si>
  <si>
    <t>UNIT LABOR COST</t>
  </si>
  <si>
    <t>TOTAL MATERIAL COST</t>
  </si>
  <si>
    <t>TOTAL LABOR COST</t>
  </si>
  <si>
    <t>SPECIAL CONSTRUCTION</t>
  </si>
  <si>
    <t>DIV-33</t>
  </si>
  <si>
    <t>UTILITIES</t>
  </si>
  <si>
    <t>Scaffolding</t>
  </si>
  <si>
    <t>EA</t>
  </si>
  <si>
    <t>LF</t>
  </si>
  <si>
    <t>SF</t>
  </si>
  <si>
    <t>SHEETS</t>
  </si>
  <si>
    <t>Ground Floor Walls</t>
  </si>
  <si>
    <t>Wall Type 1</t>
  </si>
  <si>
    <t>(4'x8'x1/2") FRT Plywood @ Cooler Walls (2311 SF)</t>
  </si>
  <si>
    <t>Wall Type 2A</t>
  </si>
  <si>
    <t>(4'x10'x5/8") Gypsum  Board @ Cooler Walls (523 SF)</t>
  </si>
  <si>
    <t>(4'x10'x5/8") Denshield Gypsum Board @ Cooler Walls (488 SF)</t>
  </si>
  <si>
    <t>Wall Type 2B</t>
  </si>
  <si>
    <t>1-5/8" 20 Ga. Top Slotted Deflection Track or 12" W. (33 MIL) Conti. Plate (16' L.)</t>
  </si>
  <si>
    <t>1-5/8" 20 Ga. Bottom Track (16' L.)</t>
  </si>
  <si>
    <t>1-5/8" 20 Ga. Metal Studs @ 16" O.C. (30'-8" L.)</t>
  </si>
  <si>
    <t>(4'x10'x5/8") Gypsum  Board (955 SF)</t>
  </si>
  <si>
    <t>Sealant</t>
  </si>
  <si>
    <t>Wall Type 4</t>
  </si>
  <si>
    <t>3-5/8" 20 Ga. Top Slotted Deflection Track or 12" W. (33 MIL) Conti. Plate (16' L.)</t>
  </si>
  <si>
    <t>3-5/8" 20 Ga. Bottom Track (16' L.)</t>
  </si>
  <si>
    <t>3-5/8" 20 Ga. Metal Studs @ 16" O.C. (30'-8" L.)</t>
  </si>
  <si>
    <t>(4'x10'x5/8") Gypsum  Board (9876 SF)</t>
  </si>
  <si>
    <t>Wall Type 4A</t>
  </si>
  <si>
    <t>3-5/8" 20 Ga. Top Slotted Deflection Track (16' L.)</t>
  </si>
  <si>
    <t>3-5/8" Mild Steel Diagonal Bracing @ 32" O.C. (30' L.)</t>
  </si>
  <si>
    <t>(4'x10'x5/8") Gypsum  Board (743 SF)</t>
  </si>
  <si>
    <t>Wall Type 4B</t>
  </si>
  <si>
    <t>3-5/8" 20 Ga. Metal Studs @ 16" O.C. (14'-0" L.)</t>
  </si>
  <si>
    <t>3-5/8" Mild Steel Diagonal Bracing @ 32" O.C. (4'-10" L.)</t>
  </si>
  <si>
    <t>(4'x12'x5/8") Gypsum  Board (517 SF)</t>
  </si>
  <si>
    <t>Wall Type 4C</t>
  </si>
  <si>
    <t>(4'x12'x5/8") Gypsum  Board (206 SF)</t>
  </si>
  <si>
    <t>Wall Type 4D</t>
  </si>
  <si>
    <t>3-5/8" 20 Ga. Metal Studs @ 16" O.C. (16'-8" L.)</t>
  </si>
  <si>
    <t>(4'x12'x5/8") Gypsum  Board (6283 SF)</t>
  </si>
  <si>
    <t>Wall Type 4E</t>
  </si>
  <si>
    <t>3-5/8" 20 Ga. Top Track (16' L.)</t>
  </si>
  <si>
    <t>3-5/8" 20 Ga. Metal Studs @ 16" O.C. (10'-0" L.)</t>
  </si>
  <si>
    <t>(4'x12'x5/8") MR. Gypsum  Board (827 SF)</t>
  </si>
  <si>
    <t>Wall Type 4G</t>
  </si>
  <si>
    <t>(4'x12'x5/8") MR. Gypsum  Board (1516 SF)</t>
  </si>
  <si>
    <t>Wall Type 4H</t>
  </si>
  <si>
    <t>(4'x12'x5/8") Gypsum  Board (1947 SF)</t>
  </si>
  <si>
    <t xml:space="preserve">3-1/2" Rigid Insulation </t>
  </si>
  <si>
    <t>Wall Type 4k</t>
  </si>
  <si>
    <t>3-5/8" 20 Ga. Metal Studs @ 16" O.C. (16'-0" L.)</t>
  </si>
  <si>
    <t>(4'x8'x5/8") Gypsum  Board (890 SF)</t>
  </si>
  <si>
    <t>Wall Type 4L</t>
  </si>
  <si>
    <t>3-5/8" 20 Ga. Metal Studs @ 16" O.C. (6'-8" L.)</t>
  </si>
  <si>
    <t>(4'x8'x5/8") Gypsum  Board (152 SF)</t>
  </si>
  <si>
    <t>Wall Type 4N</t>
  </si>
  <si>
    <t>(4'x8'x5/8") Gypsum  Board (1840 SF)</t>
  </si>
  <si>
    <t>Wall Type 4Q</t>
  </si>
  <si>
    <t>3-5/8" 20 Ga. Metal Studs @ 16" O.C. (8'-0" L.)</t>
  </si>
  <si>
    <t>(4'x8'x5/8") Gypsum  Board (256 SF)</t>
  </si>
  <si>
    <t>Wall Type 4R</t>
  </si>
  <si>
    <t>3-5/8" 20 Ga. Metal Studs @ 16" O.C. (4'-6" L.)</t>
  </si>
  <si>
    <t>(4'x8'x5/8") Gypsum  Board (315 SF)</t>
  </si>
  <si>
    <t>Wall Type 4S</t>
  </si>
  <si>
    <t>3-5/8" 20 Ga. Metal Studs @ 16" O.C. (5'-0" L.)</t>
  </si>
  <si>
    <t>(4'x8'x5/8") Gypsum  Board (892 SF)</t>
  </si>
  <si>
    <t>Wall Type 6A</t>
  </si>
  <si>
    <t>6" Prostud 33 Mil Top Slotted Deflection Track or 12" W. (33 MIL) Conti. Plate (16' L.)</t>
  </si>
  <si>
    <t>6" Prostud 33 Mil. Bottom Track (16' L.)</t>
  </si>
  <si>
    <t>6" Prostud 33 Mil Metal Studs @ 16" O.C. (30'-8" L.)</t>
  </si>
  <si>
    <t>3-5/8" Mild Steel Diagonal Bracing @ 32" O.C. (5'-0" L.)</t>
  </si>
  <si>
    <t>(4'x10'x5/8") Gypsum  Board (11050 SF)</t>
  </si>
  <si>
    <t>Wall Type 6B</t>
  </si>
  <si>
    <t>(4'x10'x5/8") Gypsum  Board (6970 SF)</t>
  </si>
  <si>
    <t>(4'x10'x5/8") MR. Gypsum  Board (693 SF)</t>
  </si>
  <si>
    <t xml:space="preserve">Sound Attenuation Batt Insulation </t>
  </si>
  <si>
    <t>Wall Type 6C</t>
  </si>
  <si>
    <t>(4'x10'x5/8") MR. Gypsum  Board (1996 SF)</t>
  </si>
  <si>
    <t>Wall Type 6D</t>
  </si>
  <si>
    <t>(4'x10'x5/8") Gypsum  Board (6571 SF)</t>
  </si>
  <si>
    <t>(4'x10'x1/2") FRT Plywood Sheathing (2369 SF)</t>
  </si>
  <si>
    <t>Wall Type 6E</t>
  </si>
  <si>
    <t>(4'x10'x5/8") MR. Gypsum  Board (10732 SF)</t>
  </si>
  <si>
    <t>Wall Type 6F</t>
  </si>
  <si>
    <t>6" Prostud 33 Mil. Top Slotted Deflection Track (16' L.)</t>
  </si>
  <si>
    <t>6" Prostud 33 Mil Metal Studs @ 16" O.C. (16'-8" L.)</t>
  </si>
  <si>
    <t>(4'x10'x5/8") MR. Gypsum  Board (279 SF)</t>
  </si>
  <si>
    <t>Wall Type 6G</t>
  </si>
  <si>
    <t>(4'x10'x5/8") Gypsum  Board (2571 SF)</t>
  </si>
  <si>
    <t>(4'x10'x1/2") FRT Plywood Sheathing (695 SF)</t>
  </si>
  <si>
    <t>Wall Type 6H</t>
  </si>
  <si>
    <t>6" Prostud 33 Mil Metal Studs @ 16" O.C. (4'-0" L.)</t>
  </si>
  <si>
    <t>(4'x8'x5/8") Gypsum  Board (170 SF)</t>
  </si>
  <si>
    <t>Wall Type 20</t>
  </si>
  <si>
    <t>(4'x8'x5/8") MR. Gypsum  Board (275 SF)</t>
  </si>
  <si>
    <t xml:space="preserve">Mezzanine Floor Walls </t>
  </si>
  <si>
    <t>Wall Type 2D</t>
  </si>
  <si>
    <t>1-5/8" 20 Ga. Metal Studs @ 16" O.C. (16'-8" L.)</t>
  </si>
  <si>
    <t>(4'x8'x5/8") Gypsum  Board (518 SF)</t>
  </si>
  <si>
    <t>3-5/8" Mild Steel Diagonal Bracing @ 32" O.C. (9' L.)</t>
  </si>
  <si>
    <t>(4'x8'x5/8") Gypsum  Board (1383 SF)</t>
  </si>
  <si>
    <t>Wall Type 4K</t>
  </si>
  <si>
    <t>(4'x8'x5/8") Gypsum  Board (8088 SF)</t>
  </si>
  <si>
    <t>Wall Type 4M</t>
  </si>
  <si>
    <t>(4'x8'x5/8") Gypsum  Board (1310 SF)</t>
  </si>
  <si>
    <t>(4'x8'x1/2") FRT Plywood Sheathing (400 SF)</t>
  </si>
  <si>
    <t>(4'x8'x5/8") Gypsum  Board (3110 SF)</t>
  </si>
  <si>
    <t>Wall Type 4O</t>
  </si>
  <si>
    <t>(4'x8'x5/8") Gypsum  Board (379 SF)</t>
  </si>
  <si>
    <t>(4'x8'x1/2") FRT Plywood Sheathing (116 SF)</t>
  </si>
  <si>
    <t>(4'x8'x5/8") MR. Gypsum  Board (437 SF)</t>
  </si>
  <si>
    <t>2'X4'X5/8" Acoustical Ceiling Tile, White Armstrong
Cortega Lay-In #769 - Fine Texture In 2' X 4' Steel Grid,
White Armstrong Prelude Xl 15
16" Steel Suspension System</t>
  </si>
  <si>
    <t>2'X4'X5/8" Vinyl Faced Ceiling Tile, White Armstrong Clean
Room Vl Unperforated #870 - Smooth Texture In 2' X 4'
Aluminum Grid, White Armstrong Al Prelude Plus Xl 15
16"
Suspension System</t>
  </si>
  <si>
    <t>2'X4'X5/8" Acoustical Ceiling Tile, White Armstrong
Cortega Lay-In #823 - Class A Fireguard Fine Texture In
2' X 4' Steel Grid, White Armstrong Prelude Xl 15
16" Steel
Suspension System</t>
  </si>
  <si>
    <t>Atas Linear Ceiling</t>
  </si>
  <si>
    <t>Atas Linear Ceiling - Box Style Lcb With Recessed
Filler Strips. Color: Bone White
Metal Channels Mechanically Fastened To Metal
Deck, 1
4" Diam Threaded Rods And Aluminum Carrier
Per Mfr Requirements. Provide Ventilated Soffits
Every 6'-0" O/C</t>
  </si>
  <si>
    <t>Gypsum Board Ceiling</t>
  </si>
  <si>
    <t>(4'X10'X5/8") Gypsum Board Ceiling Type 'X' (991 Sf) W/
Usg Drywall Suspension Tees</t>
  </si>
  <si>
    <t>Gypsum Board Framing By Others</t>
  </si>
  <si>
    <t>12 Gauge Hanger Wire, By Others
Swing-Arm Assembly Is
Recommended To Allow
Alignment In Ceiling (Support
To Structure Above), By
Others</t>
  </si>
  <si>
    <t>Soffit</t>
  </si>
  <si>
    <t>(4'X10'X5/8") Gypsum Board Ceiling Type 'X' (6370 Sf)</t>
  </si>
  <si>
    <t>Soffit Framing</t>
  </si>
  <si>
    <t>6" Metal Stud Verticle (20 Ga) At 16" O/C @ 20' H</t>
  </si>
  <si>
    <t>3-5/8" Metal Stud @ 32' H
Diaognal Bracing (20 Ga) At 24" O/C.</t>
  </si>
  <si>
    <t>6" Metal Stud Horizontal Studs @ 8'
At 24" O/C Fastened To Each Vertical Stud And Brace</t>
  </si>
  <si>
    <t>Act</t>
  </si>
  <si>
    <t>Provide rental aerial equipment for exterior work</t>
  </si>
  <si>
    <t>scissor lifts For Interior Works</t>
  </si>
  <si>
    <t xml:space="preserve">Exterior Walls </t>
  </si>
  <si>
    <t>402/F Exterior Wall</t>
  </si>
  <si>
    <t>12" Top &amp; Bottom Track (16' L.)</t>
  </si>
  <si>
    <t>12" Metal Studs @ 16" O.C. (30'-8" L.)</t>
  </si>
  <si>
    <t>3-5/8" Top &amp; Bottom Track (16' L.)</t>
  </si>
  <si>
    <t>3'-5/8" Metal Stud Filler @ 16" O.C. (2' L.)</t>
  </si>
  <si>
    <t>(4'x10'x5/8") Gypsum Board (1289 SF)</t>
  </si>
  <si>
    <t>(4'x10'x5/8") Dense-Glass Gold Exterior Gypsum Sheathing (1289 SF)</t>
  </si>
  <si>
    <t>(4'x8'x1/2") FRT Plywood Sheathing (1289 SF)</t>
  </si>
  <si>
    <t xml:space="preserve">R30 FSK Batt Insulation </t>
  </si>
  <si>
    <t>403/H Exterior Wall</t>
  </si>
  <si>
    <t>12" Metal Studs @ 16" O.C. (10'-0" L.)</t>
  </si>
  <si>
    <t>12" Metal Studs @ 16" O.C. (20'-8" L.)</t>
  </si>
  <si>
    <t>(4'x10'x5/8") Gypsum Board (903 SF)</t>
  </si>
  <si>
    <t>(4'x10'x5/8") Dense-Glass Gold Exterior Gypsum Sheathing (849 SF)</t>
  </si>
  <si>
    <t>(4'x8'x1/2") FRT Plywood Sheathing (92 SF)</t>
  </si>
  <si>
    <t>404/M Exterior Wall</t>
  </si>
  <si>
    <t>(4'x10'x5/8") Gypsum Board (268 SF)</t>
  </si>
  <si>
    <t>(4'x10'x5/8") Dense-Glass Gold Exterior Gypsum Sheathing (823 SF)</t>
  </si>
  <si>
    <t>(4'x8'x1/2") FRT Plywood Sheathing (54 SF)</t>
  </si>
  <si>
    <t>405/O &amp; 405/P Exterior Wall</t>
  </si>
  <si>
    <t>(4'x10'x5/8") Gypsum Board (877 SF)</t>
  </si>
  <si>
    <t>(4'x10'x5/8") Dense-Glass Gold Exterior Gypsum Sheathing (877 SF)</t>
  </si>
  <si>
    <t>(4'x8'x1/2") FRT Plywood Sheathing (127 SF)</t>
  </si>
  <si>
    <t>406/R Exterior Wall</t>
  </si>
  <si>
    <t>12" Metal Studs @ 16" O.C. (16'-8" L.)</t>
  </si>
  <si>
    <t>12" Metal Studs @ 16" O.C. (10'-2" L.)</t>
  </si>
  <si>
    <t>(4'x10'x5/8") Gypsum Board (789 SF)</t>
  </si>
  <si>
    <t>(4'x10'x5/8") Dense-Glass Gold Exterior Gypsum Sheathing (902 SF)</t>
  </si>
  <si>
    <t>401/B Exterior Wall</t>
  </si>
  <si>
    <t>3-5/8" Metal Studs @ 16" O.C. (26'-6" L.)</t>
  </si>
  <si>
    <t>(4'x10'x5/8") Gypsum Board (2027 SF)</t>
  </si>
  <si>
    <t>R-15 Fiberglass Batt Insulation</t>
  </si>
  <si>
    <t>401/C Exterior Wall</t>
  </si>
  <si>
    <t>12" Metal Studs @ 16" O.C. (27'-4" L.)</t>
  </si>
  <si>
    <t>(4'x10'x5/8") Gypsum Board (3700 SF)</t>
  </si>
  <si>
    <t>(4'x10'x5/8") Dense-Glass Gold Exterior Gypsum Sheathing (4180 SF)</t>
  </si>
  <si>
    <t>401/D Exterior Wall</t>
  </si>
  <si>
    <t>12" Metal Studs @ 16" O.C. (29'-6" L.)</t>
  </si>
  <si>
    <t>(4'x10'x5/8") Dense-Glass Gold Exterior Gypsum Sheathing (7986 SF)</t>
  </si>
  <si>
    <t>408/Y Exterior Wall</t>
  </si>
  <si>
    <t>3-5/8" Metal Studs @ 16" O.C. (12'-6" L.)</t>
  </si>
  <si>
    <t>3-5/8" Metal Studs @ 16" O.C. (13'-6" L.)</t>
  </si>
  <si>
    <t>(4'x10'x5/8") Gypsum Board (1149 SF)</t>
  </si>
  <si>
    <t>408/X Exterior Wall</t>
  </si>
  <si>
    <t>(4'x10'x5/8") Gypsum Board (638 SF)</t>
  </si>
  <si>
    <t>(4'x10'x5/8") Dense-Glass Gold Exterior Gypsum Sheathing (638 SF)</t>
  </si>
  <si>
    <t>407/U Exterior Wall</t>
  </si>
  <si>
    <t>3'-5/8" Metal Stud Filler @ 16" O.C. (3'-6" L.)</t>
  </si>
  <si>
    <t>(4'x10'x5/8") Gypsum Board (930 SF)</t>
  </si>
  <si>
    <t>(4'x10'x5/8") Dense-Glass Gold Exterior Gypsum Sheathing (930 SF)</t>
  </si>
  <si>
    <t>(4'x8'x1/2") FRT Plywood Sheathing (90 SF)</t>
  </si>
  <si>
    <t>406/T Exterior Wall</t>
  </si>
  <si>
    <t>12" Metal Studs @ 16" O.C. (13'-6" L.)</t>
  </si>
  <si>
    <t>12" Metal Studs @ 16" O.C. (12'-6" L.)</t>
  </si>
  <si>
    <t>402/F Parapet</t>
  </si>
  <si>
    <t>6" Top &amp; Bottom Track @ (16' L.)</t>
  </si>
  <si>
    <t>6" Metal Studs @ 16" O.C. (2' L.)</t>
  </si>
  <si>
    <t>6" 20 Ga. Metal Studs @ 16" O.C. (2'-10" L.)</t>
  </si>
  <si>
    <t>3-5/8" Metal Studs @ 16" O.C. (1'-0" L.)</t>
  </si>
  <si>
    <t>3-5/8" Metal Bracing@ 16" O.C. (3'-0" L.)</t>
  </si>
  <si>
    <t>(4'x8'x5/8") Dense-Glass Gold Exterior Gypsum Sheathing (312 SF)</t>
  </si>
  <si>
    <t xml:space="preserve">401/B Parapet </t>
  </si>
  <si>
    <t xml:space="preserve">2-2x8 P.T Wood Blocking @ 16' L.
-Quantities Has Been Multiplied By 2 </t>
  </si>
  <si>
    <t>401/C Parapet</t>
  </si>
  <si>
    <t>(4'x8'x5/8") Dense-Glass Gold Exterior Gypsum Sheathing (203 SF)</t>
  </si>
  <si>
    <t>(4'x8'x5/8") FRT Plywood Sheathing (203 SF)</t>
  </si>
  <si>
    <t xml:space="preserve">2-2x12s P.T Wood Blocking @ 16' L.
-Quantities Has Been Multiplied By 2 </t>
  </si>
  <si>
    <t>401/D Parapet</t>
  </si>
  <si>
    <t>6" Metal Studs @ 16" O.C. (3'-10" L.)</t>
  </si>
  <si>
    <t>(4'x8'x5/8") Dense-Glass Gold Exterior Gypsum Sheathing (148 SF)</t>
  </si>
  <si>
    <t>(4'x8'x5/8") FRT Plywood Sheathing (148 SF)</t>
  </si>
  <si>
    <t>403/H Parapet</t>
  </si>
  <si>
    <t>6" Metal Studs @ 16" O.C. (0'-8" L.)</t>
  </si>
  <si>
    <t>(4'x8'x5/8") Dense-Glass Gold Exterior Gypsum Sheathing (159 SF)</t>
  </si>
  <si>
    <t>(4'x8'x5/8") FRT Plywood Sheathing (159 SF)</t>
  </si>
  <si>
    <t xml:space="preserve">2-2x10 P.T Wood Blocking @ 16' L.
-Quantities Has Been Multiplied By 2 </t>
  </si>
  <si>
    <t>403/K Parpet</t>
  </si>
  <si>
    <t>6" Metal Studs @ 16" O.C. (1'-10" L.)</t>
  </si>
  <si>
    <t>(4'x8'x5/8") Dense-Glass Gold Exterior Gypsum Sheathing (33 SF)</t>
  </si>
  <si>
    <t>(4'x8'x5/8") FRT Plywood Sheathing (33 SF)</t>
  </si>
  <si>
    <t>404/N Parapet</t>
  </si>
  <si>
    <t>6" 20 Ga. Metal Studs @ 16" O.C. (4'-6" L.)</t>
  </si>
  <si>
    <t>6" 20 Ga. Metal Studs @ 16" O.C. (4'-0" L.)</t>
  </si>
  <si>
    <t>6" Metal Bracing@ 16" O.C. (6'-0" L.)</t>
  </si>
  <si>
    <t>(4'x8'x5/8") Dense-Glass Gold Exterior Gypsum Sheathing (260 SF)</t>
  </si>
  <si>
    <t>(4'x8'x5/8") FRT Plywood Sheathing (57 SF)</t>
  </si>
  <si>
    <t>405/Q Parapet</t>
  </si>
  <si>
    <t>6" Metal Studs @ 16" O.C. (2'-0" L.)</t>
  </si>
  <si>
    <t>(4'x8'x5/8") Dense-Glass Gold Exterior Gypsum Sheathing (173 SF)</t>
  </si>
  <si>
    <t>(4'x8'x5/8") FRT Plywood Sheathing (173 SF)</t>
  </si>
  <si>
    <t>406/R Parapet</t>
  </si>
  <si>
    <t>6" 20 Ga. Metal Studs @ 16" O.C. (2'-8" L.)</t>
  </si>
  <si>
    <t>3-5/8" Metal Studs @ 16" O.C. (1'-6" L.)</t>
  </si>
  <si>
    <t>6" Metal Bracing@ 16" O.C. (2'-8" L.)</t>
  </si>
  <si>
    <t>(4'x8'x5/8") Dense-Glass Gold Exterior Gypsum Sheathing (115 SF)</t>
  </si>
  <si>
    <t>(4'x8'x5/8") FRT Plywood Sheathing (134 SF)</t>
  </si>
  <si>
    <t>408/X Parapet</t>
  </si>
  <si>
    <t>6" Metal Studs @ 16" O.C. (1'-2" L.)</t>
  </si>
  <si>
    <t xml:space="preserve">2-2x10s P.T Wood Blocking @ 16' L.
-Quantities Has Been Multiplied By 2 </t>
  </si>
  <si>
    <t>Misc.</t>
  </si>
  <si>
    <t xml:space="preserve">Tapping </t>
  </si>
  <si>
    <t xml:space="preserve">Mudding Compound </t>
  </si>
  <si>
    <t>Screws</t>
  </si>
  <si>
    <t>LBS</t>
  </si>
  <si>
    <t>DRYWALL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</si>
</sst>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&quot;$&quot;* #,##0_);_(&quot;$&quot;* \(#,##0\);_(&quot;$&quot;* &quot;-&quot;?_);_(@_)"/>
    <numFmt numFmtId="167" formatCode="_-&quot;$&quot;* #,##0_-;\-&quot;$&quot;* #,##0_-;_-&quot;$&quot;* &quot;-&quot;??_-;_-@_-"/>
    <numFmt numFmtId="168" formatCode="_-[$$-409]* #,##0_ ;_-[$$-409]* \-#,##0\ ;_-[$$-409]* &quot;-&quot;??_ ;_-@_ "/>
  </numFmts>
  <fonts count="47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indexed="6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u/>
      <sz val="18"/>
      <color theme="1"/>
      <name val="Times New Roman"/>
      <family val="1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Arial"/>
      <family val="2"/>
    </font>
    <font>
      <b/>
      <sz val="12"/>
      <color theme="0"/>
      <name val="Calibri"/>
      <family val="2"/>
      <scheme val="minor"/>
    </font>
    <font>
      <b/>
      <sz val="28"/>
      <name val="Calibri"/>
      <family val="2"/>
      <scheme val="minor"/>
    </font>
    <font>
      <b/>
      <sz val="16"/>
      <color theme="0"/>
      <name val="Times New Roman"/>
      <family val="1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double">
        <color indexed="62"/>
      </top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2"/>
      </bottom>
      <diagonal/>
    </border>
    <border>
      <left/>
      <right/>
      <top/>
      <bottom style="double">
        <color indexed="62"/>
      </bottom>
      <diagonal/>
    </border>
    <border>
      <left/>
      <right style="thin">
        <color indexed="64"/>
      </right>
      <top/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8" fillId="0" borderId="0"/>
    <xf numFmtId="0" fontId="8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7" fillId="0" borderId="0"/>
    <xf numFmtId="0" fontId="26" fillId="0" borderId="0"/>
    <xf numFmtId="0" fontId="8" fillId="0" borderId="0"/>
    <xf numFmtId="43" fontId="26" fillId="0" borderId="0" applyFont="0" applyFill="0" applyBorder="0" applyAlignment="0" applyProtection="0"/>
    <xf numFmtId="0" fontId="27" fillId="0" borderId="0"/>
    <xf numFmtId="43" fontId="8" fillId="0" borderId="0" applyFont="0" applyFill="0" applyBorder="0" applyAlignment="0" applyProtection="0"/>
    <xf numFmtId="0" fontId="8" fillId="0" borderId="0"/>
    <xf numFmtId="44" fontId="27" fillId="0" borderId="0" applyFont="0" applyFill="0" applyBorder="0" applyAlignment="0" applyProtection="0"/>
    <xf numFmtId="0" fontId="6" fillId="0" borderId="0"/>
    <xf numFmtId="0" fontId="8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41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2" fillId="0" borderId="0"/>
    <xf numFmtId="0" fontId="8" fillId="23" borderId="7" applyNumberFormat="0" applyFont="0" applyAlignment="0" applyProtection="0"/>
    <xf numFmtId="0" fontId="8" fillId="0" borderId="0"/>
    <xf numFmtId="0" fontId="1" fillId="0" borderId="0"/>
  </cellStyleXfs>
  <cellXfs count="162">
    <xf numFmtId="0" fontId="0" fillId="0" borderId="0" xfId="0"/>
    <xf numFmtId="0" fontId="28" fillId="0" borderId="0" xfId="0" applyFont="1" applyAlignment="1">
      <alignment vertical="top"/>
    </xf>
    <xf numFmtId="0" fontId="31" fillId="0" borderId="0" xfId="0" applyFont="1" applyAlignment="1">
      <alignment vertical="top"/>
    </xf>
    <xf numFmtId="41" fontId="28" fillId="0" borderId="0" xfId="45" applyNumberFormat="1" applyFont="1" applyAlignment="1">
      <alignment vertical="center"/>
    </xf>
    <xf numFmtId="0" fontId="28" fillId="0" borderId="0" xfId="45" applyFont="1" applyAlignment="1">
      <alignment vertical="center"/>
    </xf>
    <xf numFmtId="0" fontId="35" fillId="0" borderId="0" xfId="0" applyFont="1"/>
    <xf numFmtId="0" fontId="31" fillId="0" borderId="0" xfId="0" applyFont="1" applyAlignment="1">
      <alignment vertical="center"/>
    </xf>
    <xf numFmtId="0" fontId="30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2" fontId="29" fillId="0" borderId="0" xfId="0" applyNumberFormat="1" applyFont="1" applyAlignment="1">
      <alignment vertical="center" wrapText="1"/>
    </xf>
    <xf numFmtId="0" fontId="37" fillId="0" borderId="0" xfId="0" applyFont="1" applyAlignment="1">
      <alignment horizontal="right"/>
    </xf>
    <xf numFmtId="0" fontId="37" fillId="0" borderId="0" xfId="0" applyFont="1" applyAlignment="1">
      <alignment horizontal="right" vertical="center"/>
    </xf>
    <xf numFmtId="0" fontId="40" fillId="0" borderId="0" xfId="0" applyFont="1" applyAlignment="1">
      <alignment vertical="top"/>
    </xf>
    <xf numFmtId="0" fontId="29" fillId="0" borderId="1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top"/>
    </xf>
    <xf numFmtId="2" fontId="29" fillId="0" borderId="0" xfId="0" applyNumberFormat="1" applyFont="1" applyAlignment="1">
      <alignment vertical="top" wrapText="1"/>
    </xf>
    <xf numFmtId="2" fontId="29" fillId="0" borderId="0" xfId="0" applyNumberFormat="1" applyFont="1" applyAlignment="1">
      <alignment horizontal="center" vertical="center" wrapText="1"/>
    </xf>
    <xf numFmtId="164" fontId="29" fillId="0" borderId="0" xfId="0" applyNumberFormat="1" applyFont="1" applyAlignment="1">
      <alignment vertical="center"/>
    </xf>
    <xf numFmtId="14" fontId="37" fillId="0" borderId="0" xfId="0" applyNumberFormat="1" applyFont="1" applyAlignment="1">
      <alignment horizontal="left"/>
    </xf>
    <xf numFmtId="167" fontId="37" fillId="0" borderId="0" xfId="0" applyNumberFormat="1" applyFont="1" applyAlignment="1">
      <alignment horizontal="center" vertical="center"/>
    </xf>
    <xf numFmtId="44" fontId="29" fillId="0" borderId="0" xfId="62" applyFont="1" applyBorder="1" applyAlignment="1">
      <alignment vertical="center" wrapText="1"/>
    </xf>
    <xf numFmtId="44" fontId="37" fillId="0" borderId="13" xfId="62" applyFont="1" applyBorder="1" applyAlignment="1">
      <alignment horizontal="center" vertical="center"/>
    </xf>
    <xf numFmtId="44" fontId="37" fillId="0" borderId="0" xfId="62" applyFont="1" applyAlignment="1">
      <alignment horizontal="center" vertical="center"/>
    </xf>
    <xf numFmtId="44" fontId="29" fillId="0" borderId="0" xfId="62" applyFont="1" applyAlignment="1">
      <alignment vertical="center" wrapText="1"/>
    </xf>
    <xf numFmtId="9" fontId="29" fillId="0" borderId="0" xfId="61" applyFont="1" applyBorder="1" applyAlignment="1">
      <alignment horizontal="center" vertical="center" wrapText="1"/>
    </xf>
    <xf numFmtId="1" fontId="29" fillId="24" borderId="11" xfId="38" applyNumberFormat="1" applyFont="1" applyFill="1" applyBorder="1" applyAlignment="1">
      <alignment horizontal="center" vertical="center"/>
    </xf>
    <xf numFmtId="1" fontId="29" fillId="24" borderId="11" xfId="38" applyNumberFormat="1" applyFont="1" applyFill="1" applyBorder="1" applyAlignment="1">
      <alignment horizontal="center" vertical="top"/>
    </xf>
    <xf numFmtId="0" fontId="29" fillId="24" borderId="11" xfId="38" applyFont="1" applyFill="1" applyBorder="1" applyAlignment="1">
      <alignment horizontal="justify" vertical="top" wrapText="1"/>
    </xf>
    <xf numFmtId="41" fontId="29" fillId="24" borderId="11" xfId="38" applyNumberFormat="1" applyFont="1" applyFill="1" applyBorder="1" applyAlignment="1">
      <alignment horizontal="right" vertical="center"/>
    </xf>
    <xf numFmtId="0" fontId="29" fillId="24" borderId="11" xfId="38" applyFont="1" applyFill="1" applyBorder="1" applyAlignment="1">
      <alignment horizontal="center" vertical="center"/>
    </xf>
    <xf numFmtId="44" fontId="29" fillId="24" borderId="11" xfId="62" applyFont="1" applyFill="1" applyBorder="1" applyAlignment="1" applyProtection="1">
      <alignment horizontal="left" vertical="center"/>
    </xf>
    <xf numFmtId="166" fontId="29" fillId="24" borderId="11" xfId="38" applyNumberFormat="1" applyFont="1" applyFill="1" applyBorder="1" applyAlignment="1" applyProtection="1">
      <alignment horizontal="left" vertical="center"/>
    </xf>
    <xf numFmtId="0" fontId="45" fillId="24" borderId="11" xfId="38" applyFont="1" applyFill="1" applyBorder="1" applyAlignment="1">
      <alignment horizontal="left" vertical="center" wrapText="1"/>
    </xf>
    <xf numFmtId="1" fontId="29" fillId="24" borderId="26" xfId="38" applyNumberFormat="1" applyFont="1" applyFill="1" applyBorder="1" applyAlignment="1">
      <alignment horizontal="center" vertical="center"/>
    </xf>
    <xf numFmtId="42" fontId="29" fillId="24" borderId="27" xfId="38" applyNumberFormat="1" applyFont="1" applyFill="1" applyBorder="1" applyAlignment="1" applyProtection="1">
      <alignment horizontal="left" vertical="center"/>
    </xf>
    <xf numFmtId="9" fontId="29" fillId="24" borderId="11" xfId="61" applyFont="1" applyFill="1" applyBorder="1" applyAlignment="1">
      <alignment horizontal="right" vertical="center"/>
    </xf>
    <xf numFmtId="9" fontId="29" fillId="0" borderId="0" xfId="61" applyFont="1" applyAlignment="1">
      <alignment horizontal="center" vertical="center" wrapText="1"/>
    </xf>
    <xf numFmtId="44" fontId="37" fillId="0" borderId="0" xfId="62" applyFont="1" applyBorder="1" applyAlignment="1">
      <alignment horizontal="center" vertical="center"/>
    </xf>
    <xf numFmtId="0" fontId="34" fillId="0" borderId="11" xfId="0" applyFont="1" applyBorder="1" applyAlignment="1">
      <alignment horizontal="center"/>
    </xf>
    <xf numFmtId="0" fontId="42" fillId="27" borderId="10" xfId="0" applyFont="1" applyFill="1" applyBorder="1" applyAlignment="1">
      <alignment horizontal="center" vertical="center"/>
    </xf>
    <xf numFmtId="0" fontId="42" fillId="27" borderId="0" xfId="0" applyFont="1" applyFill="1" applyAlignment="1">
      <alignment horizontal="center" vertical="center"/>
    </xf>
    <xf numFmtId="0" fontId="42" fillId="27" borderId="0" xfId="0" applyFont="1" applyFill="1" applyAlignment="1">
      <alignment horizontal="center" vertical="top"/>
    </xf>
    <xf numFmtId="2" fontId="42" fillId="27" borderId="0" xfId="0" applyNumberFormat="1" applyFont="1" applyFill="1" applyAlignment="1">
      <alignment vertical="top" wrapText="1"/>
    </xf>
    <xf numFmtId="2" fontId="42" fillId="27" borderId="0" xfId="0" applyNumberFormat="1" applyFont="1" applyFill="1" applyAlignment="1">
      <alignment horizontal="center" vertical="center" wrapText="1"/>
    </xf>
    <xf numFmtId="9" fontId="42" fillId="27" borderId="0" xfId="61" applyFont="1" applyFill="1" applyBorder="1" applyAlignment="1">
      <alignment horizontal="center" vertical="center" wrapText="1"/>
    </xf>
    <xf numFmtId="44" fontId="44" fillId="27" borderId="0" xfId="62" applyFont="1" applyFill="1" applyAlignment="1">
      <alignment horizontal="center" vertical="center"/>
    </xf>
    <xf numFmtId="167" fontId="44" fillId="27" borderId="0" xfId="0" applyNumberFormat="1" applyFont="1" applyFill="1" applyAlignment="1">
      <alignment horizontal="center" vertical="center"/>
    </xf>
    <xf numFmtId="0" fontId="42" fillId="27" borderId="11" xfId="34" applyFont="1" applyFill="1" applyBorder="1" applyAlignment="1" applyProtection="1">
      <alignment horizontal="center" vertical="center" wrapText="1"/>
    </xf>
    <xf numFmtId="9" fontId="42" fillId="27" borderId="0" xfId="61" applyFont="1" applyFill="1" applyBorder="1" applyAlignment="1">
      <alignment horizontal="right" vertical="center" wrapText="1"/>
    </xf>
    <xf numFmtId="9" fontId="44" fillId="27" borderId="0" xfId="61" applyFont="1" applyFill="1" applyAlignment="1">
      <alignment horizontal="center" vertical="center"/>
    </xf>
    <xf numFmtId="0" fontId="34" fillId="26" borderId="23" xfId="34" applyFont="1" applyFill="1" applyBorder="1" applyAlignment="1" applyProtection="1">
      <alignment horizontal="center" vertical="center" wrapText="1"/>
    </xf>
    <xf numFmtId="0" fontId="34" fillId="26" borderId="24" xfId="34" applyFont="1" applyFill="1" applyBorder="1" applyAlignment="1" applyProtection="1">
      <alignment horizontal="center" vertical="center" wrapText="1"/>
    </xf>
    <xf numFmtId="2" fontId="34" fillId="26" borderId="24" xfId="34" applyNumberFormat="1" applyFont="1" applyFill="1" applyBorder="1" applyAlignment="1" applyProtection="1">
      <alignment horizontal="center" vertical="center" wrapText="1"/>
    </xf>
    <xf numFmtId="9" fontId="34" fillId="26" borderId="24" xfId="61" applyFont="1" applyFill="1" applyBorder="1" applyAlignment="1" applyProtection="1">
      <alignment horizontal="center" vertical="center" wrapText="1"/>
    </xf>
    <xf numFmtId="44" fontId="34" fillId="26" borderId="24" xfId="62" applyFont="1" applyFill="1" applyBorder="1" applyAlignment="1" applyProtection="1">
      <alignment horizontal="center" vertical="center" wrapText="1"/>
    </xf>
    <xf numFmtId="0" fontId="34" fillId="26" borderId="25" xfId="34" applyFont="1" applyFill="1" applyBorder="1" applyAlignment="1" applyProtection="1">
      <alignment horizontal="center" vertical="center" wrapText="1"/>
    </xf>
    <xf numFmtId="0" fontId="33" fillId="27" borderId="26" xfId="39" applyFont="1" applyFill="1" applyBorder="1" applyAlignment="1">
      <alignment horizontal="center" vertical="center"/>
    </xf>
    <xf numFmtId="0" fontId="33" fillId="27" borderId="11" xfId="39" applyFont="1" applyFill="1" applyBorder="1" applyAlignment="1">
      <alignment horizontal="center" vertical="center"/>
    </xf>
    <xf numFmtId="0" fontId="33" fillId="27" borderId="11" xfId="39" applyFont="1" applyFill="1" applyBorder="1" applyAlignment="1">
      <alignment horizontal="center" vertical="top"/>
    </xf>
    <xf numFmtId="0" fontId="33" fillId="27" borderId="11" xfId="39" applyFont="1" applyFill="1" applyBorder="1" applyAlignment="1">
      <alignment vertical="top"/>
    </xf>
    <xf numFmtId="9" fontId="33" fillId="27" borderId="11" xfId="61" applyFont="1" applyFill="1" applyBorder="1" applyAlignment="1">
      <alignment vertical="center"/>
    </xf>
    <xf numFmtId="0" fontId="33" fillId="27" borderId="11" xfId="39" applyFont="1" applyFill="1" applyBorder="1" applyAlignment="1">
      <alignment vertical="center"/>
    </xf>
    <xf numFmtId="44" fontId="33" fillId="27" borderId="11" xfId="62" applyFont="1" applyFill="1" applyBorder="1" applyAlignment="1">
      <alignment vertical="center"/>
    </xf>
    <xf numFmtId="42" fontId="33" fillId="27" borderId="27" xfId="39" applyNumberFormat="1" applyFont="1" applyFill="1" applyBorder="1" applyAlignment="1">
      <alignment vertical="center"/>
    </xf>
    <xf numFmtId="9" fontId="33" fillId="27" borderId="11" xfId="61" applyFont="1" applyFill="1" applyBorder="1" applyAlignment="1">
      <alignment horizontal="right" vertical="center"/>
    </xf>
    <xf numFmtId="0" fontId="33" fillId="27" borderId="11" xfId="39" applyFont="1" applyFill="1" applyBorder="1" applyAlignment="1">
      <alignment horizontal="right" vertical="center"/>
    </xf>
    <xf numFmtId="166" fontId="33" fillId="27" borderId="11" xfId="39" applyNumberFormat="1" applyFont="1" applyFill="1" applyBorder="1" applyAlignment="1">
      <alignment vertical="center"/>
    </xf>
    <xf numFmtId="0" fontId="33" fillId="28" borderId="11" xfId="39" applyFont="1" applyFill="1" applyBorder="1" applyAlignment="1">
      <alignment horizontal="center" vertical="center"/>
    </xf>
    <xf numFmtId="0" fontId="39" fillId="28" borderId="11" xfId="39" applyFont="1" applyFill="1" applyBorder="1" applyAlignment="1">
      <alignment horizontal="center" vertical="center"/>
    </xf>
    <xf numFmtId="0" fontId="34" fillId="28" borderId="11" xfId="39" applyFont="1" applyFill="1" applyBorder="1" applyAlignment="1">
      <alignment horizontal="center" vertical="top"/>
    </xf>
    <xf numFmtId="0" fontId="34" fillId="28" borderId="11" xfId="39" applyFont="1" applyFill="1" applyBorder="1" applyAlignment="1">
      <alignment vertical="top"/>
    </xf>
    <xf numFmtId="9" fontId="34" fillId="28" borderId="11" xfId="61" applyFont="1" applyFill="1" applyBorder="1" applyAlignment="1">
      <alignment vertical="center"/>
    </xf>
    <xf numFmtId="0" fontId="34" fillId="28" borderId="11" xfId="39" applyFont="1" applyFill="1" applyBorder="1" applyAlignment="1">
      <alignment vertical="center"/>
    </xf>
    <xf numFmtId="44" fontId="34" fillId="28" borderId="11" xfId="62" applyFont="1" applyFill="1" applyBorder="1" applyAlignment="1">
      <alignment vertical="center"/>
    </xf>
    <xf numFmtId="44" fontId="34" fillId="28" borderId="16" xfId="62" applyFont="1" applyFill="1" applyBorder="1" applyAlignment="1">
      <alignment vertical="center"/>
    </xf>
    <xf numFmtId="0" fontId="32" fillId="29" borderId="21" xfId="41" applyFont="1" applyFill="1" applyBorder="1" applyAlignment="1">
      <alignment horizontal="center" vertical="center"/>
    </xf>
    <xf numFmtId="0" fontId="32" fillId="29" borderId="21" xfId="41" applyFont="1" applyFill="1" applyBorder="1" applyAlignment="1">
      <alignment horizontal="left" vertical="top"/>
    </xf>
    <xf numFmtId="0" fontId="32" fillId="29" borderId="21" xfId="41" applyFont="1" applyFill="1" applyBorder="1" applyAlignment="1">
      <alignment vertical="top"/>
    </xf>
    <xf numFmtId="164" fontId="32" fillId="29" borderId="21" xfId="41" applyNumberFormat="1" applyFont="1" applyFill="1" applyBorder="1" applyAlignment="1" applyProtection="1">
      <alignment horizontal="center" vertical="center"/>
    </xf>
    <xf numFmtId="9" fontId="32" fillId="29" borderId="21" xfId="61" applyFont="1" applyFill="1" applyBorder="1" applyAlignment="1" applyProtection="1">
      <alignment horizontal="center" vertical="center"/>
    </xf>
    <xf numFmtId="44" fontId="32" fillId="29" borderId="22" xfId="62" applyFont="1" applyFill="1" applyBorder="1" applyAlignment="1">
      <alignment vertical="center"/>
    </xf>
    <xf numFmtId="42" fontId="32" fillId="29" borderId="22" xfId="41" applyNumberFormat="1" applyFont="1" applyFill="1" applyBorder="1" applyAlignment="1">
      <alignment vertical="center"/>
    </xf>
    <xf numFmtId="0" fontId="32" fillId="29" borderId="9" xfId="41" applyFont="1" applyFill="1" applyAlignment="1">
      <alignment horizontal="center" vertical="center"/>
    </xf>
    <xf numFmtId="0" fontId="32" fillId="29" borderId="9" xfId="41" applyFont="1" applyFill="1" applyAlignment="1">
      <alignment horizontal="left" vertical="top"/>
    </xf>
    <xf numFmtId="0" fontId="32" fillId="29" borderId="9" xfId="41" applyFont="1" applyFill="1" applyAlignment="1">
      <alignment vertical="top"/>
    </xf>
    <xf numFmtId="164" fontId="32" fillId="29" borderId="9" xfId="41" applyNumberFormat="1" applyFont="1" applyFill="1" applyAlignment="1" applyProtection="1">
      <alignment horizontal="center" vertical="center"/>
    </xf>
    <xf numFmtId="9" fontId="32" fillId="29" borderId="9" xfId="61" applyFont="1" applyFill="1" applyBorder="1" applyAlignment="1" applyProtection="1">
      <alignment horizontal="center" vertical="center"/>
    </xf>
    <xf numFmtId="9" fontId="32" fillId="29" borderId="9" xfId="61" applyFont="1" applyFill="1" applyBorder="1" applyAlignment="1">
      <alignment horizontal="center" vertical="center"/>
    </xf>
    <xf numFmtId="165" fontId="32" fillId="29" borderId="9" xfId="41" applyNumberFormat="1" applyFont="1" applyFill="1" applyAlignment="1">
      <alignment horizontal="left" vertical="center"/>
    </xf>
    <xf numFmtId="165" fontId="32" fillId="29" borderId="12" xfId="41" applyNumberFormat="1" applyFont="1" applyFill="1" applyBorder="1" applyAlignment="1">
      <alignment vertical="center"/>
    </xf>
    <xf numFmtId="0" fontId="32" fillId="29" borderId="14" xfId="41" applyFont="1" applyFill="1" applyBorder="1" applyAlignment="1">
      <alignment horizontal="left" vertical="center"/>
    </xf>
    <xf numFmtId="0" fontId="32" fillId="29" borderId="15" xfId="41" applyFont="1" applyFill="1" applyBorder="1" applyAlignment="1">
      <alignment horizontal="left" vertical="center"/>
    </xf>
    <xf numFmtId="0" fontId="32" fillId="29" borderId="9" xfId="41" applyFont="1" applyFill="1" applyAlignment="1">
      <alignment horizontal="left" vertical="center"/>
    </xf>
    <xf numFmtId="44" fontId="32" fillId="29" borderId="9" xfId="62" applyFont="1" applyFill="1" applyBorder="1" applyAlignment="1">
      <alignment horizontal="left" vertical="center"/>
    </xf>
    <xf numFmtId="0" fontId="34" fillId="30" borderId="11" xfId="38" applyFont="1" applyFill="1" applyBorder="1" applyAlignment="1">
      <alignment horizontal="justify" vertical="top" wrapText="1"/>
    </xf>
    <xf numFmtId="0" fontId="34" fillId="0" borderId="11" xfId="0" applyFont="1" applyBorder="1" applyAlignment="1">
      <alignment horizontal="center" vertical="center"/>
    </xf>
    <xf numFmtId="0" fontId="45" fillId="0" borderId="11" xfId="0" applyFont="1" applyBorder="1" applyAlignment="1">
      <alignment horizontal="left" vertical="center" wrapText="1"/>
    </xf>
    <xf numFmtId="0" fontId="45" fillId="0" borderId="11" xfId="0" applyFont="1" applyBorder="1" applyAlignment="1">
      <alignment horizontal="left" vertical="center"/>
    </xf>
    <xf numFmtId="0" fontId="34" fillId="0" borderId="11" xfId="0" applyFont="1" applyBorder="1"/>
    <xf numFmtId="0" fontId="34" fillId="0" borderId="11" xfId="0" applyFont="1" applyBorder="1" applyAlignment="1">
      <alignment horizontal="left"/>
    </xf>
    <xf numFmtId="0" fontId="45" fillId="0" borderId="11" xfId="0" applyFont="1" applyBorder="1" applyAlignment="1">
      <alignment horizontal="left"/>
    </xf>
    <xf numFmtId="0" fontId="45" fillId="0" borderId="11" xfId="0" applyFont="1" applyBorder="1" applyAlignment="1">
      <alignment horizontal="left" wrapText="1"/>
    </xf>
    <xf numFmtId="41" fontId="34" fillId="30" borderId="11" xfId="38" applyNumberFormat="1" applyFont="1" applyFill="1" applyBorder="1" applyAlignment="1">
      <alignment horizontal="justify" vertical="top" wrapText="1"/>
    </xf>
    <xf numFmtId="0" fontId="39" fillId="28" borderId="11" xfId="39" applyFont="1" applyFill="1" applyBorder="1" applyAlignment="1">
      <alignment horizontal="center" vertical="top"/>
    </xf>
    <xf numFmtId="0" fontId="39" fillId="28" borderId="11" xfId="39" applyFont="1" applyFill="1" applyBorder="1" applyAlignment="1">
      <alignment vertical="top"/>
    </xf>
    <xf numFmtId="9" fontId="39" fillId="28" borderId="11" xfId="61" applyFont="1" applyFill="1" applyBorder="1" applyAlignment="1">
      <alignment vertical="center"/>
    </xf>
    <xf numFmtId="0" fontId="39" fillId="28" borderId="11" xfId="39" applyFont="1" applyFill="1" applyBorder="1" applyAlignment="1">
      <alignment vertical="center"/>
    </xf>
    <xf numFmtId="44" fontId="39" fillId="28" borderId="11" xfId="62" applyFont="1" applyFill="1" applyBorder="1" applyAlignment="1">
      <alignment vertical="center"/>
    </xf>
    <xf numFmtId="44" fontId="39" fillId="28" borderId="16" xfId="62" applyFont="1" applyFill="1" applyBorder="1" applyAlignment="1">
      <alignment vertical="center"/>
    </xf>
    <xf numFmtId="165" fontId="37" fillId="0" borderId="0" xfId="62" applyNumberFormat="1" applyFont="1" applyAlignment="1">
      <alignment horizontal="center" vertical="center"/>
    </xf>
    <xf numFmtId="2" fontId="42" fillId="27" borderId="0" xfId="0" applyNumberFormat="1" applyFont="1" applyFill="1" applyAlignment="1">
      <alignment horizontal="right" vertical="center" wrapText="1"/>
    </xf>
    <xf numFmtId="0" fontId="34" fillId="0" borderId="11" xfId="66" applyFont="1" applyBorder="1"/>
    <xf numFmtId="0" fontId="45" fillId="0" borderId="11" xfId="66" applyFont="1" applyBorder="1"/>
    <xf numFmtId="0" fontId="34" fillId="0" borderId="11" xfId="66" applyFont="1" applyBorder="1" applyAlignment="1">
      <alignment horizontal="center"/>
    </xf>
    <xf numFmtId="0" fontId="45" fillId="0" borderId="11" xfId="66" applyFont="1" applyBorder="1" applyAlignment="1">
      <alignment wrapText="1"/>
    </xf>
    <xf numFmtId="2" fontId="29" fillId="0" borderId="0" xfId="0" applyNumberFormat="1" applyFont="1" applyAlignment="1">
      <alignment horizontal="right" vertical="center" wrapText="1"/>
    </xf>
    <xf numFmtId="0" fontId="39" fillId="28" borderId="11" xfId="39" applyFont="1" applyFill="1" applyBorder="1" applyAlignment="1">
      <alignment horizontal="right" vertical="center"/>
    </xf>
    <xf numFmtId="0" fontId="34" fillId="28" borderId="11" xfId="39" applyFont="1" applyFill="1" applyBorder="1" applyAlignment="1">
      <alignment horizontal="right" vertical="center"/>
    </xf>
    <xf numFmtId="2" fontId="34" fillId="26" borderId="24" xfId="34" applyNumberFormat="1" applyFont="1" applyFill="1" applyBorder="1" applyAlignment="1" applyProtection="1">
      <alignment horizontal="right" vertical="center" wrapText="1"/>
    </xf>
    <xf numFmtId="0" fontId="34" fillId="0" borderId="11" xfId="0" applyFont="1" applyBorder="1" applyAlignment="1">
      <alignment horizontal="right" vertical="center"/>
    </xf>
    <xf numFmtId="0" fontId="34" fillId="0" borderId="11" xfId="0" applyFont="1" applyBorder="1" applyAlignment="1">
      <alignment horizontal="right"/>
    </xf>
    <xf numFmtId="1" fontId="34" fillId="0" borderId="11" xfId="0" applyNumberFormat="1" applyFont="1" applyBorder="1" applyAlignment="1">
      <alignment horizontal="right"/>
    </xf>
    <xf numFmtId="0" fontId="34" fillId="0" borderId="11" xfId="66" applyFont="1" applyBorder="1" applyAlignment="1">
      <alignment horizontal="right"/>
    </xf>
    <xf numFmtId="1" fontId="34" fillId="0" borderId="11" xfId="66" applyNumberFormat="1" applyFont="1" applyBorder="1" applyAlignment="1">
      <alignment horizontal="right"/>
    </xf>
    <xf numFmtId="164" fontId="32" fillId="29" borderId="21" xfId="41" applyNumberFormat="1" applyFont="1" applyFill="1" applyBorder="1" applyAlignment="1" applyProtection="1">
      <alignment horizontal="right" vertical="center"/>
    </xf>
    <xf numFmtId="164" fontId="32" fillId="29" borderId="9" xfId="41" applyNumberFormat="1" applyFont="1" applyFill="1" applyAlignment="1" applyProtection="1">
      <alignment horizontal="right" vertical="center"/>
    </xf>
    <xf numFmtId="0" fontId="37" fillId="0" borderId="0" xfId="0" applyFont="1" applyAlignment="1">
      <alignment wrapText="1"/>
    </xf>
    <xf numFmtId="0" fontId="37" fillId="0" borderId="0" xfId="0" applyFont="1" applyAlignment="1">
      <alignment vertical="center" wrapText="1"/>
    </xf>
    <xf numFmtId="9" fontId="29" fillId="0" borderId="11" xfId="61" applyFont="1" applyFill="1" applyBorder="1" applyAlignment="1">
      <alignment horizontal="right" vertical="center"/>
    </xf>
    <xf numFmtId="41" fontId="29" fillId="0" borderId="11" xfId="38" applyNumberFormat="1" applyFont="1" applyFill="1" applyBorder="1" applyAlignment="1">
      <alignment horizontal="right" vertical="center"/>
    </xf>
    <xf numFmtId="44" fontId="29" fillId="0" borderId="11" xfId="62" applyFont="1" applyFill="1" applyBorder="1" applyAlignment="1" applyProtection="1">
      <alignment horizontal="left" vertical="center"/>
    </xf>
    <xf numFmtId="166" fontId="29" fillId="0" borderId="11" xfId="38" applyNumberFormat="1" applyFont="1" applyFill="1" applyBorder="1" applyAlignment="1" applyProtection="1">
      <alignment horizontal="left" vertical="center"/>
    </xf>
    <xf numFmtId="0" fontId="29" fillId="28" borderId="11" xfId="39" applyFont="1" applyFill="1" applyBorder="1" applyAlignment="1">
      <alignment horizontal="center" vertical="center"/>
    </xf>
    <xf numFmtId="0" fontId="29" fillId="28" borderId="11" xfId="39" applyFont="1" applyFill="1" applyBorder="1" applyAlignment="1">
      <alignment horizontal="center" vertical="top"/>
    </xf>
    <xf numFmtId="0" fontId="29" fillId="28" borderId="11" xfId="39" applyFont="1" applyFill="1" applyBorder="1" applyAlignment="1">
      <alignment vertical="top"/>
    </xf>
    <xf numFmtId="0" fontId="29" fillId="28" borderId="11" xfId="39" applyFont="1" applyFill="1" applyBorder="1" applyAlignment="1">
      <alignment horizontal="right" vertical="center"/>
    </xf>
    <xf numFmtId="9" fontId="29" fillId="28" borderId="11" xfId="61" applyFont="1" applyFill="1" applyBorder="1" applyAlignment="1">
      <alignment vertical="center"/>
    </xf>
    <xf numFmtId="0" fontId="29" fillId="28" borderId="11" xfId="39" applyFont="1" applyFill="1" applyBorder="1" applyAlignment="1">
      <alignment vertical="center"/>
    </xf>
    <xf numFmtId="44" fontId="29" fillId="28" borderId="11" xfId="62" applyFont="1" applyFill="1" applyBorder="1" applyAlignment="1">
      <alignment vertical="center"/>
    </xf>
    <xf numFmtId="44" fontId="29" fillId="28" borderId="16" xfId="62" applyFont="1" applyFill="1" applyBorder="1" applyAlignment="1">
      <alignment vertical="center"/>
    </xf>
    <xf numFmtId="9" fontId="29" fillId="0" borderId="0" xfId="61" applyFont="1" applyBorder="1" applyAlignment="1">
      <alignment horizontal="center" vertical="center" wrapText="1"/>
    </xf>
    <xf numFmtId="2" fontId="38" fillId="26" borderId="0" xfId="0" applyNumberFormat="1" applyFont="1" applyFill="1" applyAlignment="1">
      <alignment horizontal="center"/>
    </xf>
    <xf numFmtId="2" fontId="36" fillId="26" borderId="0" xfId="0" applyNumberFormat="1" applyFont="1" applyFill="1" applyAlignment="1">
      <alignment horizontal="center"/>
    </xf>
    <xf numFmtId="0" fontId="32" fillId="29" borderId="20" xfId="41" applyFont="1" applyFill="1" applyBorder="1" applyAlignment="1">
      <alignment horizontal="left" vertical="center"/>
    </xf>
    <xf numFmtId="0" fontId="32" fillId="29" borderId="21" xfId="41" applyFont="1" applyFill="1" applyBorder="1" applyAlignment="1">
      <alignment horizontal="left" vertical="center"/>
    </xf>
    <xf numFmtId="0" fontId="43" fillId="26" borderId="10" xfId="0" applyFont="1" applyFill="1" applyBorder="1" applyAlignment="1">
      <alignment horizontal="center" vertical="center"/>
    </xf>
    <xf numFmtId="0" fontId="43" fillId="26" borderId="0" xfId="0" applyFont="1" applyFill="1" applyAlignment="1">
      <alignment horizontal="center" vertical="center"/>
    </xf>
    <xf numFmtId="0" fontId="43" fillId="25" borderId="10" xfId="0" applyFont="1" applyFill="1" applyBorder="1" applyAlignment="1">
      <alignment horizontal="center" vertical="center"/>
    </xf>
    <xf numFmtId="0" fontId="43" fillId="25" borderId="0" xfId="0" applyFont="1" applyFill="1" applyAlignment="1">
      <alignment horizontal="center" vertical="center"/>
    </xf>
    <xf numFmtId="168" fontId="42" fillId="27" borderId="18" xfId="34" applyNumberFormat="1" applyFont="1" applyFill="1" applyBorder="1" applyAlignment="1" applyProtection="1">
      <alignment horizontal="center" vertical="center" wrapText="1"/>
    </xf>
    <xf numFmtId="168" fontId="42" fillId="27" borderId="19" xfId="34" applyNumberFormat="1" applyFont="1" applyFill="1" applyBorder="1" applyAlignment="1" applyProtection="1">
      <alignment horizontal="center" vertical="center" wrapText="1"/>
    </xf>
    <xf numFmtId="42" fontId="39" fillId="28" borderId="16" xfId="39" applyNumberFormat="1" applyFont="1" applyFill="1" applyBorder="1" applyAlignment="1">
      <alignment horizontal="center" vertical="center"/>
    </xf>
    <xf numFmtId="42" fontId="39" fillId="28" borderId="17" xfId="39" applyNumberFormat="1" applyFont="1" applyFill="1" applyBorder="1" applyAlignment="1">
      <alignment horizontal="center" vertical="center"/>
    </xf>
    <xf numFmtId="42" fontId="34" fillId="28" borderId="16" xfId="39" applyNumberFormat="1" applyFont="1" applyFill="1" applyBorder="1" applyAlignment="1">
      <alignment horizontal="center" vertical="center"/>
    </xf>
    <xf numFmtId="42" fontId="34" fillId="28" borderId="17" xfId="39" applyNumberFormat="1" applyFont="1" applyFill="1" applyBorder="1" applyAlignment="1">
      <alignment horizontal="center" vertical="center"/>
    </xf>
    <xf numFmtId="42" fontId="29" fillId="28" borderId="16" xfId="39" applyNumberFormat="1" applyFont="1" applyFill="1" applyBorder="1" applyAlignment="1">
      <alignment horizontal="center" vertical="center"/>
    </xf>
    <xf numFmtId="42" fontId="29" fillId="28" borderId="17" xfId="39" applyNumberFormat="1" applyFont="1" applyFill="1" applyBorder="1" applyAlignment="1">
      <alignment horizontal="center" vertical="center"/>
    </xf>
    <xf numFmtId="0" fontId="32" fillId="29" borderId="14" xfId="41" applyFont="1" applyFill="1" applyBorder="1" applyAlignment="1">
      <alignment horizontal="left" vertical="center"/>
    </xf>
    <xf numFmtId="0" fontId="32" fillId="29" borderId="15" xfId="41" applyFont="1" applyFill="1" applyBorder="1" applyAlignment="1">
      <alignment horizontal="left" vertical="center"/>
    </xf>
    <xf numFmtId="2" fontId="42" fillId="27" borderId="0" xfId="0" applyNumberFormat="1" applyFont="1" applyFill="1" applyAlignment="1">
      <alignment horizontal="right" vertical="center" wrapText="1"/>
    </xf>
    <xf numFmtId="168" fontId="42" fillId="27" borderId="0" xfId="34" applyNumberFormat="1" applyFont="1" applyFill="1" applyBorder="1" applyAlignment="1" applyProtection="1">
      <alignment horizontal="center" vertical="center" wrapText="1"/>
    </xf>
  </cellXfs>
  <cellStyles count="6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6" xr:uid="{00000000-0005-0000-0000-00001B000000}"/>
    <cellStyle name="Comma 2 2" xfId="48" xr:uid="{00000000-0005-0000-0000-00001C000000}"/>
    <cellStyle name="Currency" xfId="62" builtinId="4"/>
    <cellStyle name="Currency 2" xfId="50" xr:uid="{00000000-0005-0000-0000-00001E000000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10" xfId="65" xr:uid="{065AE096-9D9F-46D1-BECF-9AF34D486CE9}"/>
    <cellStyle name="Normal 11" xfId="66" xr:uid="{902C0807-384B-4E87-A78F-773D76CDBA4B}"/>
    <cellStyle name="Normal 2" xfId="44" xr:uid="{00000000-0005-0000-0000-000029000000}"/>
    <cellStyle name="Normal 2 2" xfId="47" xr:uid="{00000000-0005-0000-0000-00002A000000}"/>
    <cellStyle name="Normal 2 3" xfId="45" xr:uid="{00000000-0005-0000-0000-00002B000000}"/>
    <cellStyle name="Normal 2 3 2" xfId="52" xr:uid="{00000000-0005-0000-0000-00002C000000}"/>
    <cellStyle name="Normal 3" xfId="37" xr:uid="{00000000-0005-0000-0000-00002D000000}"/>
    <cellStyle name="Normal 4" xfId="43" xr:uid="{00000000-0005-0000-0000-00002E000000}"/>
    <cellStyle name="Normal 4 2" xfId="53" xr:uid="{00000000-0005-0000-0000-00002F000000}"/>
    <cellStyle name="Normal 4 2 2" xfId="58" xr:uid="{00000000-0005-0000-0000-000030000000}"/>
    <cellStyle name="Normal 4 3" xfId="51" xr:uid="{00000000-0005-0000-0000-000031000000}"/>
    <cellStyle name="Normal 4 3 2" xfId="57" xr:uid="{00000000-0005-0000-0000-000032000000}"/>
    <cellStyle name="Normal 4 4" xfId="56" xr:uid="{00000000-0005-0000-0000-000033000000}"/>
    <cellStyle name="Normal 5" xfId="49" xr:uid="{00000000-0005-0000-0000-000034000000}"/>
    <cellStyle name="Normal 6" xfId="55" xr:uid="{00000000-0005-0000-0000-000035000000}"/>
    <cellStyle name="Normal 7" xfId="54" xr:uid="{00000000-0005-0000-0000-000036000000}"/>
    <cellStyle name="Normal 7 2" xfId="59" xr:uid="{00000000-0005-0000-0000-000037000000}"/>
    <cellStyle name="Normal 8" xfId="60" xr:uid="{00000000-0005-0000-0000-000038000000}"/>
    <cellStyle name="Normal 9" xfId="63" xr:uid="{00000000-0005-0000-0000-000039000000}"/>
    <cellStyle name="Note" xfId="38" builtinId="10" customBuiltin="1"/>
    <cellStyle name="Note 2" xfId="64" xr:uid="{B57C2E05-EA98-4DE0-839B-06D51B274981}"/>
    <cellStyle name="Output" xfId="39" builtinId="21" customBuiltin="1"/>
    <cellStyle name="Percent" xfId="61" builtinId="5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502227</xdr:colOff>
      <xdr:row>1</xdr:row>
      <xdr:rowOff>173182</xdr:rowOff>
    </xdr:from>
    <xdr:to>
      <xdr:col>15</xdr:col>
      <xdr:colOff>3463</xdr:colOff>
      <xdr:row>6</xdr:row>
      <xdr:rowOff>187036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3E5C4E-66A9-C466-C47A-A9802E751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99227" y="467591"/>
          <a:ext cx="5943600" cy="1485900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64"/>
  <sheetViews>
    <sheetView tabSelected="1" zoomScale="55" zoomScaleNormal="55" zoomScaleSheetLayoutView="40" workbookViewId="0">
      <selection activeCell="E39" sqref="E39"/>
    </sheetView>
  </sheetViews>
  <sheetFormatPr defaultColWidth="8.88671875" defaultRowHeight="15.75" x14ac:dyDescent="0.2"/>
  <cols>
    <col min="1" max="1" width="6" style="14" customWidth="1"/>
    <col min="2" max="3" width="8.6640625" style="14" customWidth="1"/>
    <col min="4" max="4" width="7.88671875" style="15" customWidth="1"/>
    <col min="5" max="5" width="67.5546875" style="16" bestFit="1" customWidth="1"/>
    <col min="6" max="6" width="11.109375" style="116" customWidth="1"/>
    <col min="7" max="7" width="15.5546875" style="37" customWidth="1"/>
    <col min="8" max="8" width="11.88671875" style="17" customWidth="1"/>
    <col min="9" max="9" width="11.88671875" style="14" customWidth="1"/>
    <col min="10" max="13" width="15.109375" style="24" customWidth="1"/>
    <col min="14" max="14" width="14.33203125" style="9" customWidth="1"/>
    <col min="15" max="15" width="15.44140625" style="18" customWidth="1"/>
    <col min="16" max="16" width="9.6640625" style="1"/>
    <col min="17" max="17" width="10.33203125" style="1" bestFit="1" customWidth="1"/>
    <col min="18" max="16384" width="8.88671875" style="1"/>
  </cols>
  <sheetData>
    <row r="1" spans="1:15" s="5" customFormat="1" ht="22.5" x14ac:dyDescent="0.3">
      <c r="A1" s="142" t="s">
        <v>12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5" x14ac:dyDescent="0.2">
      <c r="A2" s="13"/>
      <c r="G2" s="25"/>
      <c r="J2" s="21"/>
      <c r="K2" s="21"/>
      <c r="L2" s="21"/>
      <c r="M2" s="21"/>
    </row>
    <row r="3" spans="1:15" ht="21" thickBot="1" x14ac:dyDescent="0.35">
      <c r="B3" s="8"/>
      <c r="C3" s="8"/>
      <c r="D3" s="10" t="s">
        <v>15</v>
      </c>
      <c r="E3" s="19"/>
      <c r="G3" s="25"/>
      <c r="J3" s="22" t="s">
        <v>14</v>
      </c>
      <c r="K3" s="38"/>
      <c r="L3" s="38"/>
      <c r="M3" s="38"/>
      <c r="N3" s="8"/>
    </row>
    <row r="4" spans="1:15" ht="20.25" x14ac:dyDescent="0.3">
      <c r="B4" s="8"/>
      <c r="C4" s="8"/>
      <c r="D4" s="10" t="s">
        <v>16</v>
      </c>
      <c r="E4" s="127" t="s">
        <v>307</v>
      </c>
      <c r="F4" s="141" t="s">
        <v>70</v>
      </c>
      <c r="G4" s="141"/>
      <c r="J4" s="110">
        <f>N32</f>
        <v>1580207.5706568635</v>
      </c>
      <c r="K4" s="23"/>
      <c r="L4" s="23"/>
      <c r="M4" s="23"/>
      <c r="N4" s="20"/>
    </row>
    <row r="5" spans="1:15" ht="37.5" customHeight="1" x14ac:dyDescent="0.2">
      <c r="B5" s="8"/>
      <c r="C5" s="8"/>
      <c r="D5" s="11" t="s">
        <v>17</v>
      </c>
      <c r="E5" s="128"/>
      <c r="F5" s="141" t="s">
        <v>7</v>
      </c>
      <c r="G5" s="141"/>
      <c r="H5" s="25">
        <v>0.2</v>
      </c>
      <c r="J5" s="110">
        <f>SUM(O461:O462)</f>
        <v>316041.51413137274</v>
      </c>
      <c r="K5" s="23"/>
      <c r="L5" s="23"/>
      <c r="M5" s="23"/>
      <c r="N5" s="20"/>
    </row>
    <row r="6" spans="1:15" ht="20.25" x14ac:dyDescent="0.2">
      <c r="A6" s="13"/>
      <c r="F6" s="141" t="s">
        <v>6</v>
      </c>
      <c r="G6" s="141"/>
      <c r="J6" s="110">
        <f>SUM(J4:J5)</f>
        <v>1896249.0847882363</v>
      </c>
      <c r="K6" s="23"/>
      <c r="L6" s="23"/>
      <c r="M6" s="23"/>
      <c r="N6" s="20"/>
    </row>
    <row r="7" spans="1:15" ht="20.25" x14ac:dyDescent="0.2">
      <c r="A7" s="13"/>
      <c r="G7" s="25"/>
      <c r="J7" s="23"/>
      <c r="K7" s="23"/>
      <c r="L7" s="23"/>
      <c r="M7" s="23"/>
      <c r="N7" s="20"/>
    </row>
    <row r="8" spans="1:15" ht="20.25" customHeight="1" x14ac:dyDescent="0.2">
      <c r="A8" s="146" t="s">
        <v>13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</row>
    <row r="9" spans="1:15" ht="20.25" customHeight="1" x14ac:dyDescent="0.2">
      <c r="A9" s="146"/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</row>
    <row r="10" spans="1:15" ht="20.25" x14ac:dyDescent="0.2">
      <c r="A10" s="40"/>
      <c r="B10" s="41"/>
      <c r="C10" s="41"/>
      <c r="D10" s="42"/>
      <c r="E10" s="43"/>
      <c r="F10" s="111"/>
      <c r="G10" s="45"/>
      <c r="H10" s="44"/>
      <c r="I10" s="41"/>
      <c r="J10" s="46"/>
      <c r="K10" s="46"/>
      <c r="L10" s="46"/>
      <c r="M10" s="46"/>
      <c r="N10" s="47"/>
      <c r="O10" s="48" t="s">
        <v>2</v>
      </c>
    </row>
    <row r="11" spans="1:15" s="12" customFormat="1" x14ac:dyDescent="0.2">
      <c r="A11" s="69"/>
      <c r="B11" s="69"/>
      <c r="C11" s="69"/>
      <c r="D11" s="104" t="s">
        <v>30</v>
      </c>
      <c r="E11" s="105" t="s">
        <v>9</v>
      </c>
      <c r="F11" s="117"/>
      <c r="G11" s="106"/>
      <c r="H11" s="107"/>
      <c r="I11" s="107"/>
      <c r="J11" s="108"/>
      <c r="K11" s="109"/>
      <c r="L11" s="109"/>
      <c r="M11" s="109"/>
      <c r="N11" s="152">
        <f>O40</f>
        <v>65000</v>
      </c>
      <c r="O11" s="153"/>
    </row>
    <row r="12" spans="1:15" s="12" customFormat="1" x14ac:dyDescent="0.2">
      <c r="A12" s="68"/>
      <c r="B12" s="69"/>
      <c r="C12" s="69"/>
      <c r="D12" s="70" t="s">
        <v>53</v>
      </c>
      <c r="E12" s="71" t="s">
        <v>54</v>
      </c>
      <c r="F12" s="118"/>
      <c r="G12" s="72"/>
      <c r="H12" s="73"/>
      <c r="I12" s="73"/>
      <c r="J12" s="74"/>
      <c r="K12" s="75"/>
      <c r="L12" s="75"/>
      <c r="M12" s="75"/>
      <c r="N12" s="154">
        <v>0</v>
      </c>
      <c r="O12" s="155"/>
    </row>
    <row r="13" spans="1:15" s="12" customFormat="1" x14ac:dyDescent="0.2">
      <c r="A13" s="68"/>
      <c r="B13" s="69"/>
      <c r="C13" s="69"/>
      <c r="D13" s="70" t="s">
        <v>41</v>
      </c>
      <c r="E13" s="71" t="s">
        <v>42</v>
      </c>
      <c r="F13" s="118"/>
      <c r="G13" s="72"/>
      <c r="H13" s="73"/>
      <c r="I13" s="73"/>
      <c r="J13" s="74"/>
      <c r="K13" s="75"/>
      <c r="L13" s="75"/>
      <c r="M13" s="75"/>
      <c r="N13" s="154">
        <v>0</v>
      </c>
      <c r="O13" s="155"/>
    </row>
    <row r="14" spans="1:15" s="12" customFormat="1" x14ac:dyDescent="0.2">
      <c r="A14" s="68"/>
      <c r="B14" s="69"/>
      <c r="C14" s="69"/>
      <c r="D14" s="70" t="s">
        <v>61</v>
      </c>
      <c r="E14" s="71" t="s">
        <v>62</v>
      </c>
      <c r="F14" s="118"/>
      <c r="G14" s="72"/>
      <c r="H14" s="73"/>
      <c r="I14" s="73"/>
      <c r="J14" s="74"/>
      <c r="K14" s="75"/>
      <c r="L14" s="75"/>
      <c r="M14" s="75"/>
      <c r="N14" s="154">
        <v>0</v>
      </c>
      <c r="O14" s="155"/>
    </row>
    <row r="15" spans="1:15" s="12" customFormat="1" x14ac:dyDescent="0.2">
      <c r="A15" s="68"/>
      <c r="B15" s="69"/>
      <c r="C15" s="69"/>
      <c r="D15" s="70" t="s">
        <v>35</v>
      </c>
      <c r="E15" s="71" t="s">
        <v>36</v>
      </c>
      <c r="F15" s="118"/>
      <c r="G15" s="72"/>
      <c r="H15" s="73"/>
      <c r="I15" s="73"/>
      <c r="J15" s="74"/>
      <c r="K15" s="75"/>
      <c r="L15" s="75"/>
      <c r="M15" s="75"/>
      <c r="N15" s="154">
        <v>0</v>
      </c>
      <c r="O15" s="155"/>
    </row>
    <row r="16" spans="1:15" x14ac:dyDescent="0.2">
      <c r="A16" s="133"/>
      <c r="B16" s="133"/>
      <c r="C16" s="133"/>
      <c r="D16" s="134" t="s">
        <v>51</v>
      </c>
      <c r="E16" s="135" t="s">
        <v>52</v>
      </c>
      <c r="F16" s="136"/>
      <c r="G16" s="137"/>
      <c r="H16" s="138"/>
      <c r="I16" s="138"/>
      <c r="J16" s="139"/>
      <c r="K16" s="140"/>
      <c r="L16" s="140"/>
      <c r="M16" s="140"/>
      <c r="N16" s="156">
        <v>0</v>
      </c>
      <c r="O16" s="157"/>
    </row>
    <row r="17" spans="1:15" x14ac:dyDescent="0.2">
      <c r="A17" s="133"/>
      <c r="B17" s="133"/>
      <c r="C17" s="133"/>
      <c r="D17" s="134" t="s">
        <v>63</v>
      </c>
      <c r="E17" s="135" t="s">
        <v>64</v>
      </c>
      <c r="F17" s="136"/>
      <c r="G17" s="137"/>
      <c r="H17" s="138"/>
      <c r="I17" s="138"/>
      <c r="J17" s="139"/>
      <c r="K17" s="140"/>
      <c r="L17" s="140"/>
      <c r="M17" s="140"/>
      <c r="N17" s="156">
        <v>0</v>
      </c>
      <c r="O17" s="157"/>
    </row>
    <row r="18" spans="1:15" x14ac:dyDescent="0.2">
      <c r="A18" s="133"/>
      <c r="B18" s="133"/>
      <c r="C18" s="133"/>
      <c r="D18" s="134" t="s">
        <v>44</v>
      </c>
      <c r="E18" s="135" t="s">
        <v>43</v>
      </c>
      <c r="F18" s="136"/>
      <c r="G18" s="137"/>
      <c r="H18" s="138"/>
      <c r="I18" s="138"/>
      <c r="J18" s="139"/>
      <c r="K18" s="140"/>
      <c r="L18" s="140"/>
      <c r="M18" s="140"/>
      <c r="N18" s="156">
        <v>0</v>
      </c>
      <c r="O18" s="157"/>
    </row>
    <row r="19" spans="1:15" s="12" customFormat="1" x14ac:dyDescent="0.2">
      <c r="A19" s="69"/>
      <c r="B19" s="69"/>
      <c r="C19" s="69"/>
      <c r="D19" s="104" t="s">
        <v>32</v>
      </c>
      <c r="E19" s="105" t="s">
        <v>31</v>
      </c>
      <c r="F19" s="117"/>
      <c r="G19" s="106"/>
      <c r="H19" s="107"/>
      <c r="I19" s="107"/>
      <c r="J19" s="108"/>
      <c r="K19" s="109"/>
      <c r="L19" s="109"/>
      <c r="M19" s="109"/>
      <c r="N19" s="152">
        <f>O53</f>
        <v>1515207.5706568635</v>
      </c>
      <c r="O19" s="153"/>
    </row>
    <row r="20" spans="1:15" x14ac:dyDescent="0.2">
      <c r="A20" s="133"/>
      <c r="B20" s="133"/>
      <c r="C20" s="133"/>
      <c r="D20" s="134" t="s">
        <v>65</v>
      </c>
      <c r="E20" s="135" t="s">
        <v>66</v>
      </c>
      <c r="F20" s="136"/>
      <c r="G20" s="137"/>
      <c r="H20" s="138"/>
      <c r="I20" s="138"/>
      <c r="J20" s="139"/>
      <c r="K20" s="140"/>
      <c r="L20" s="140"/>
      <c r="M20" s="140"/>
      <c r="N20" s="156">
        <v>0</v>
      </c>
      <c r="O20" s="157"/>
    </row>
    <row r="21" spans="1:15" s="12" customFormat="1" x14ac:dyDescent="0.2">
      <c r="A21" s="68"/>
      <c r="B21" s="69"/>
      <c r="C21" s="69"/>
      <c r="D21" s="70" t="s">
        <v>67</v>
      </c>
      <c r="E21" s="71" t="s">
        <v>68</v>
      </c>
      <c r="F21" s="118"/>
      <c r="G21" s="72"/>
      <c r="H21" s="73"/>
      <c r="I21" s="73"/>
      <c r="J21" s="74"/>
      <c r="K21" s="75"/>
      <c r="L21" s="75"/>
      <c r="M21" s="75"/>
      <c r="N21" s="154">
        <v>0</v>
      </c>
      <c r="O21" s="155"/>
    </row>
    <row r="22" spans="1:15" s="12" customFormat="1" x14ac:dyDescent="0.2">
      <c r="A22" s="68"/>
      <c r="B22" s="69"/>
      <c r="C22" s="69"/>
      <c r="D22" s="70" t="s">
        <v>34</v>
      </c>
      <c r="E22" s="71" t="s">
        <v>33</v>
      </c>
      <c r="F22" s="118"/>
      <c r="G22" s="72"/>
      <c r="H22" s="73"/>
      <c r="I22" s="73"/>
      <c r="J22" s="74"/>
      <c r="K22" s="75"/>
      <c r="L22" s="75"/>
      <c r="M22" s="75"/>
      <c r="N22" s="154">
        <v>0</v>
      </c>
      <c r="O22" s="155"/>
    </row>
    <row r="23" spans="1:15" s="12" customFormat="1" x14ac:dyDescent="0.2">
      <c r="A23" s="68"/>
      <c r="B23" s="69"/>
      <c r="C23" s="69"/>
      <c r="D23" s="70" t="s">
        <v>69</v>
      </c>
      <c r="E23" s="71" t="s">
        <v>75</v>
      </c>
      <c r="F23" s="118"/>
      <c r="G23" s="72"/>
      <c r="H23" s="73"/>
      <c r="I23" s="73"/>
      <c r="J23" s="74"/>
      <c r="K23" s="75"/>
      <c r="L23" s="75"/>
      <c r="M23" s="75"/>
      <c r="N23" s="154">
        <v>0</v>
      </c>
      <c r="O23" s="155"/>
    </row>
    <row r="24" spans="1:15" s="12" customFormat="1" x14ac:dyDescent="0.2">
      <c r="A24" s="68"/>
      <c r="B24" s="69"/>
      <c r="C24" s="69"/>
      <c r="D24" s="70" t="s">
        <v>59</v>
      </c>
      <c r="E24" s="71" t="s">
        <v>60</v>
      </c>
      <c r="F24" s="118"/>
      <c r="G24" s="72"/>
      <c r="H24" s="73"/>
      <c r="I24" s="73"/>
      <c r="J24" s="74"/>
      <c r="K24" s="75"/>
      <c r="L24" s="75"/>
      <c r="M24" s="75"/>
      <c r="N24" s="154">
        <v>0</v>
      </c>
      <c r="O24" s="155"/>
    </row>
    <row r="25" spans="1:15" s="12" customFormat="1" x14ac:dyDescent="0.2">
      <c r="A25" s="68"/>
      <c r="B25" s="69"/>
      <c r="C25" s="69"/>
      <c r="D25" s="70" t="s">
        <v>39</v>
      </c>
      <c r="E25" s="71" t="s">
        <v>40</v>
      </c>
      <c r="F25" s="118"/>
      <c r="G25" s="72"/>
      <c r="H25" s="73"/>
      <c r="I25" s="73"/>
      <c r="J25" s="74"/>
      <c r="K25" s="75"/>
      <c r="L25" s="75"/>
      <c r="M25" s="75"/>
      <c r="N25" s="154">
        <v>0</v>
      </c>
      <c r="O25" s="155"/>
    </row>
    <row r="26" spans="1:15" s="12" customFormat="1" x14ac:dyDescent="0.2">
      <c r="A26" s="68"/>
      <c r="B26" s="69"/>
      <c r="C26" s="69"/>
      <c r="D26" s="70" t="s">
        <v>45</v>
      </c>
      <c r="E26" s="71" t="s">
        <v>46</v>
      </c>
      <c r="F26" s="118"/>
      <c r="G26" s="72"/>
      <c r="H26" s="73"/>
      <c r="I26" s="73"/>
      <c r="J26" s="74"/>
      <c r="K26" s="75"/>
      <c r="L26" s="75"/>
      <c r="M26" s="75"/>
      <c r="N26" s="154">
        <v>0</v>
      </c>
      <c r="O26" s="155"/>
    </row>
    <row r="27" spans="1:15" s="12" customFormat="1" x14ac:dyDescent="0.2">
      <c r="A27" s="68"/>
      <c r="B27" s="69"/>
      <c r="C27" s="69"/>
      <c r="D27" s="70" t="s">
        <v>47</v>
      </c>
      <c r="E27" s="71" t="s">
        <v>48</v>
      </c>
      <c r="F27" s="118"/>
      <c r="G27" s="72"/>
      <c r="H27" s="73"/>
      <c r="I27" s="73"/>
      <c r="J27" s="74"/>
      <c r="K27" s="75"/>
      <c r="L27" s="75"/>
      <c r="M27" s="75"/>
      <c r="N27" s="154">
        <v>0</v>
      </c>
      <c r="O27" s="155"/>
    </row>
    <row r="28" spans="1:15" s="12" customFormat="1" x14ac:dyDescent="0.2">
      <c r="A28" s="68" t="str">
        <f>IF(I28&lt;&gt;"",1+MAX($A27:A$40),"")</f>
        <v/>
      </c>
      <c r="B28" s="69"/>
      <c r="C28" s="69"/>
      <c r="D28" s="70" t="s">
        <v>50</v>
      </c>
      <c r="E28" s="71" t="s">
        <v>49</v>
      </c>
      <c r="F28" s="118"/>
      <c r="G28" s="72"/>
      <c r="H28" s="73"/>
      <c r="I28" s="73"/>
      <c r="J28" s="74"/>
      <c r="K28" s="75"/>
      <c r="L28" s="75"/>
      <c r="M28" s="75"/>
      <c r="N28" s="154">
        <v>0</v>
      </c>
      <c r="O28" s="155"/>
    </row>
    <row r="29" spans="1:15" s="12" customFormat="1" x14ac:dyDescent="0.2">
      <c r="A29" s="68" t="str">
        <f>IF(I29&lt;&gt;"",1+MAX($A28:A$40),"")</f>
        <v/>
      </c>
      <c r="B29" s="69"/>
      <c r="C29" s="69"/>
      <c r="D29" s="70" t="s">
        <v>56</v>
      </c>
      <c r="E29" s="71" t="s">
        <v>55</v>
      </c>
      <c r="F29" s="118"/>
      <c r="G29" s="72"/>
      <c r="H29" s="73"/>
      <c r="I29" s="73"/>
      <c r="J29" s="74"/>
      <c r="K29" s="75"/>
      <c r="L29" s="75"/>
      <c r="M29" s="75"/>
      <c r="N29" s="154">
        <v>0</v>
      </c>
      <c r="O29" s="155"/>
    </row>
    <row r="30" spans="1:15" s="12" customFormat="1" x14ac:dyDescent="0.2">
      <c r="A30" s="68" t="str">
        <f>IF(I30&lt;&gt;"",1+MAX($A28:A$40),"")</f>
        <v/>
      </c>
      <c r="B30" s="69"/>
      <c r="C30" s="69"/>
      <c r="D30" s="70" t="s">
        <v>38</v>
      </c>
      <c r="E30" s="71" t="s">
        <v>37</v>
      </c>
      <c r="F30" s="118"/>
      <c r="G30" s="72"/>
      <c r="H30" s="73"/>
      <c r="I30" s="73"/>
      <c r="J30" s="74"/>
      <c r="K30" s="75"/>
      <c r="L30" s="75"/>
      <c r="M30" s="75"/>
      <c r="N30" s="154">
        <v>0</v>
      </c>
      <c r="O30" s="155"/>
    </row>
    <row r="31" spans="1:15" s="12" customFormat="1" x14ac:dyDescent="0.2">
      <c r="A31" s="68" t="str">
        <f>IF(I31&lt;&gt;"",1+MAX($A29:A$40),"")</f>
        <v/>
      </c>
      <c r="B31" s="69"/>
      <c r="C31" s="69"/>
      <c r="D31" s="70" t="s">
        <v>76</v>
      </c>
      <c r="E31" s="71" t="s">
        <v>77</v>
      </c>
      <c r="F31" s="118"/>
      <c r="G31" s="72"/>
      <c r="H31" s="73"/>
      <c r="I31" s="73"/>
      <c r="J31" s="74"/>
      <c r="K31" s="75"/>
      <c r="L31" s="75"/>
      <c r="M31" s="75"/>
      <c r="N31" s="154">
        <v>0</v>
      </c>
      <c r="O31" s="155"/>
    </row>
    <row r="32" spans="1:15" ht="20.25" x14ac:dyDescent="0.2">
      <c r="A32" s="40"/>
      <c r="B32" s="41"/>
      <c r="C32" s="41"/>
      <c r="D32" s="42"/>
      <c r="E32" s="43"/>
      <c r="F32" s="111"/>
      <c r="G32" s="45"/>
      <c r="H32" s="44"/>
      <c r="I32" s="41"/>
      <c r="J32" s="46"/>
      <c r="K32" s="46"/>
      <c r="L32" s="46"/>
      <c r="M32" s="46"/>
      <c r="N32" s="150">
        <f>SUM(N11:O31)</f>
        <v>1580207.5706568635</v>
      </c>
      <c r="O32" s="151"/>
    </row>
    <row r="33" spans="1:23" ht="20.25" x14ac:dyDescent="0.2">
      <c r="A33" s="40"/>
      <c r="B33" s="41"/>
      <c r="C33" s="41"/>
      <c r="D33" s="42"/>
      <c r="E33" s="43"/>
      <c r="F33" s="111"/>
      <c r="G33" s="49"/>
      <c r="H33" s="160" t="s">
        <v>8</v>
      </c>
      <c r="I33" s="160"/>
      <c r="J33" s="50">
        <v>0</v>
      </c>
      <c r="K33" s="50"/>
      <c r="L33" s="50"/>
      <c r="M33" s="50"/>
      <c r="N33" s="161">
        <f>N32*J33</f>
        <v>0</v>
      </c>
      <c r="O33" s="161"/>
    </row>
    <row r="34" spans="1:23" ht="20.25" customHeight="1" x14ac:dyDescent="0.2">
      <c r="A34" s="40"/>
      <c r="B34" s="41"/>
      <c r="C34" s="41"/>
      <c r="D34" s="42"/>
      <c r="E34" s="43"/>
      <c r="F34" s="111"/>
      <c r="G34" s="160" t="s">
        <v>7</v>
      </c>
      <c r="H34" s="160"/>
      <c r="I34" s="160"/>
      <c r="J34" s="50">
        <v>0.2</v>
      </c>
      <c r="K34" s="50"/>
      <c r="L34" s="50"/>
      <c r="M34" s="50"/>
      <c r="N34" s="161">
        <f>N32*J34</f>
        <v>316041.51413137274</v>
      </c>
      <c r="O34" s="161"/>
    </row>
    <row r="35" spans="1:23" ht="37.5" customHeight="1" x14ac:dyDescent="0.2">
      <c r="A35" s="40"/>
      <c r="B35" s="41"/>
      <c r="C35" s="41"/>
      <c r="D35" s="42"/>
      <c r="E35" s="43"/>
      <c r="F35" s="111"/>
      <c r="G35" s="49"/>
      <c r="H35" s="160" t="s">
        <v>6</v>
      </c>
      <c r="I35" s="160"/>
      <c r="J35" s="46"/>
      <c r="K35" s="46"/>
      <c r="L35" s="46"/>
      <c r="M35" s="46"/>
      <c r="N35" s="161">
        <f>SUM(N32:O34)</f>
        <v>1896249.0847882363</v>
      </c>
      <c r="O35" s="161"/>
    </row>
    <row r="36" spans="1:23" ht="20.25" x14ac:dyDescent="0.2">
      <c r="A36" s="13"/>
      <c r="G36" s="25"/>
      <c r="J36" s="23"/>
      <c r="K36" s="23"/>
      <c r="L36" s="23"/>
      <c r="M36" s="23"/>
      <c r="N36" s="20"/>
    </row>
    <row r="37" spans="1:23" x14ac:dyDescent="0.2">
      <c r="A37" s="148" t="s">
        <v>58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</row>
    <row r="38" spans="1:23" ht="16.5" customHeight="1" thickBot="1" x14ac:dyDescent="0.25">
      <c r="A38" s="148"/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</row>
    <row r="39" spans="1:23" s="7" customFormat="1" ht="30.6" customHeight="1" x14ac:dyDescent="0.2">
      <c r="A39" s="51" t="s">
        <v>3</v>
      </c>
      <c r="B39" s="52" t="s">
        <v>18</v>
      </c>
      <c r="C39" s="52" t="s">
        <v>28</v>
      </c>
      <c r="D39" s="52" t="s">
        <v>19</v>
      </c>
      <c r="E39" s="53" t="s">
        <v>1</v>
      </c>
      <c r="F39" s="119" t="s">
        <v>4</v>
      </c>
      <c r="G39" s="54" t="s">
        <v>21</v>
      </c>
      <c r="H39" s="53" t="s">
        <v>20</v>
      </c>
      <c r="I39" s="52" t="s">
        <v>0</v>
      </c>
      <c r="J39" s="55" t="s">
        <v>71</v>
      </c>
      <c r="K39" s="55" t="s">
        <v>72</v>
      </c>
      <c r="L39" s="55" t="s">
        <v>73</v>
      </c>
      <c r="M39" s="55" t="s">
        <v>74</v>
      </c>
      <c r="N39" s="53" t="s">
        <v>57</v>
      </c>
      <c r="O39" s="56" t="s">
        <v>2</v>
      </c>
      <c r="P39" s="6"/>
      <c r="Q39" s="6"/>
      <c r="R39" s="6"/>
      <c r="S39" s="6"/>
      <c r="T39" s="6"/>
      <c r="U39" s="6"/>
      <c r="V39" s="6"/>
      <c r="W39" s="6"/>
    </row>
    <row r="40" spans="1:23" s="4" customFormat="1" x14ac:dyDescent="0.2">
      <c r="A40" s="57"/>
      <c r="B40" s="58"/>
      <c r="C40" s="58"/>
      <c r="D40" s="59" t="s">
        <v>30</v>
      </c>
      <c r="E40" s="60" t="s">
        <v>9</v>
      </c>
      <c r="F40" s="66"/>
      <c r="G40" s="61"/>
      <c r="H40" s="62"/>
      <c r="I40" s="62"/>
      <c r="J40" s="63"/>
      <c r="K40" s="63"/>
      <c r="L40" s="63"/>
      <c r="M40" s="63"/>
      <c r="N40" s="62"/>
      <c r="O40" s="64">
        <f>SUM(N41:N52)</f>
        <v>65000</v>
      </c>
      <c r="P40" s="3"/>
    </row>
    <row r="41" spans="1:23" s="4" customFormat="1" x14ac:dyDescent="0.2">
      <c r="A41" s="34"/>
      <c r="B41" s="26"/>
      <c r="C41" s="26"/>
      <c r="D41" s="27"/>
      <c r="E41" s="28"/>
      <c r="F41" s="29"/>
      <c r="G41" s="36"/>
      <c r="H41" s="29"/>
      <c r="I41" s="30"/>
      <c r="J41" s="31"/>
      <c r="K41" s="31"/>
      <c r="L41" s="31"/>
      <c r="M41" s="31"/>
      <c r="N41" s="32"/>
      <c r="O41" s="35"/>
      <c r="P41" s="3"/>
    </row>
    <row r="42" spans="1:23" s="4" customFormat="1" x14ac:dyDescent="0.2">
      <c r="A42" s="34">
        <f>IF(I42&lt;&gt;"",1+MAX($A40:A$40),"")</f>
        <v>1</v>
      </c>
      <c r="B42" s="26"/>
      <c r="C42" s="26"/>
      <c r="D42" s="27"/>
      <c r="E42" s="28" t="s">
        <v>10</v>
      </c>
      <c r="F42" s="29">
        <v>1</v>
      </c>
      <c r="G42" s="36">
        <f t="shared" ref="G42:G43" si="0">IF(F42=0,"",0)</f>
        <v>0</v>
      </c>
      <c r="H42" s="29">
        <f>IF(F42=0,"",F42*(1+G42))</f>
        <v>1</v>
      </c>
      <c r="I42" s="30" t="s">
        <v>29</v>
      </c>
      <c r="J42" s="31"/>
      <c r="K42" s="31"/>
      <c r="L42" s="32">
        <f t="shared" ref="L42" si="1">IF(F42=0,"",J42*H42)</f>
        <v>0</v>
      </c>
      <c r="M42" s="32">
        <f t="shared" ref="M42" si="2">IF(F42=0,"",K42*H42)</f>
        <v>0</v>
      </c>
      <c r="N42" s="32">
        <f t="shared" ref="N42" si="3">IF(F42=0,"",L42+M42)</f>
        <v>0</v>
      </c>
      <c r="O42" s="35"/>
      <c r="P42" s="3"/>
    </row>
    <row r="43" spans="1:23" s="4" customFormat="1" x14ac:dyDescent="0.2">
      <c r="A43" s="34">
        <f>IF(I43&lt;&gt;"",1+MAX($A$40:A42),"")</f>
        <v>2</v>
      </c>
      <c r="B43" s="26"/>
      <c r="C43" s="26"/>
      <c r="D43" s="27"/>
      <c r="E43" s="28" t="s">
        <v>11</v>
      </c>
      <c r="F43" s="29">
        <v>1</v>
      </c>
      <c r="G43" s="36">
        <f t="shared" si="0"/>
        <v>0</v>
      </c>
      <c r="H43" s="29">
        <f t="shared" ref="H43:H52" si="4">IF(F43=0,"",F43*(1+G43))</f>
        <v>1</v>
      </c>
      <c r="I43" s="30" t="s">
        <v>29</v>
      </c>
      <c r="J43" s="31"/>
      <c r="K43" s="31"/>
      <c r="L43" s="32">
        <f t="shared" ref="L43:L52" si="5">IF(F43=0,"",J43*H43)</f>
        <v>0</v>
      </c>
      <c r="M43" s="32">
        <f t="shared" ref="M43:M52" si="6">IF(F43=0,"",K43*H43)</f>
        <v>0</v>
      </c>
      <c r="N43" s="32">
        <f t="shared" ref="N43:N52" si="7">IF(F43=0,"",L43+M43)</f>
        <v>0</v>
      </c>
      <c r="O43" s="35"/>
      <c r="P43" s="3"/>
    </row>
    <row r="44" spans="1:23" s="4" customFormat="1" x14ac:dyDescent="0.2">
      <c r="A44" s="34">
        <f>IF(I44&lt;&gt;"",1+MAX($A$40:A43),"")</f>
        <v>3</v>
      </c>
      <c r="B44" s="26"/>
      <c r="C44" s="26"/>
      <c r="D44" s="27"/>
      <c r="E44" s="28" t="s">
        <v>22</v>
      </c>
      <c r="F44" s="29">
        <v>1</v>
      </c>
      <c r="G44" s="36">
        <f>IF(F44=0,"",0)</f>
        <v>0</v>
      </c>
      <c r="H44" s="29">
        <f t="shared" si="4"/>
        <v>1</v>
      </c>
      <c r="I44" s="30" t="s">
        <v>29</v>
      </c>
      <c r="J44" s="31"/>
      <c r="K44" s="31"/>
      <c r="L44" s="32">
        <f t="shared" si="5"/>
        <v>0</v>
      </c>
      <c r="M44" s="32">
        <f t="shared" si="6"/>
        <v>0</v>
      </c>
      <c r="N44" s="32">
        <f t="shared" si="7"/>
        <v>0</v>
      </c>
      <c r="O44" s="35"/>
      <c r="P44" s="3"/>
    </row>
    <row r="45" spans="1:23" s="4" customFormat="1" x14ac:dyDescent="0.2">
      <c r="A45" s="34">
        <f>IF(I45&lt;&gt;"",1+MAX($A$40:A44),"")</f>
        <v>4</v>
      </c>
      <c r="B45" s="26"/>
      <c r="C45" s="26"/>
      <c r="D45" s="27"/>
      <c r="E45" s="28" t="s">
        <v>23</v>
      </c>
      <c r="F45" s="29">
        <v>1</v>
      </c>
      <c r="G45" s="36">
        <f t="shared" ref="G45:G52" si="8">IF(F45=0,"",0)</f>
        <v>0</v>
      </c>
      <c r="H45" s="29">
        <f t="shared" si="4"/>
        <v>1</v>
      </c>
      <c r="I45" s="30" t="s">
        <v>29</v>
      </c>
      <c r="J45" s="31"/>
      <c r="K45" s="31"/>
      <c r="L45" s="32">
        <f t="shared" si="5"/>
        <v>0</v>
      </c>
      <c r="M45" s="32">
        <f t="shared" si="6"/>
        <v>0</v>
      </c>
      <c r="N45" s="32">
        <f t="shared" si="7"/>
        <v>0</v>
      </c>
      <c r="O45" s="35"/>
      <c r="P45" s="3"/>
    </row>
    <row r="46" spans="1:23" s="4" customFormat="1" x14ac:dyDescent="0.2">
      <c r="A46" s="34">
        <f>IF(I46&lt;&gt;"",1+MAX($A$40:A45),"")</f>
        <v>5</v>
      </c>
      <c r="B46" s="26"/>
      <c r="C46" s="26"/>
      <c r="D46" s="27"/>
      <c r="E46" s="28" t="s">
        <v>24</v>
      </c>
      <c r="F46" s="29">
        <v>1</v>
      </c>
      <c r="G46" s="36">
        <f t="shared" si="8"/>
        <v>0</v>
      </c>
      <c r="H46" s="29">
        <f t="shared" si="4"/>
        <v>1</v>
      </c>
      <c r="I46" s="30" t="s">
        <v>29</v>
      </c>
      <c r="J46" s="31"/>
      <c r="K46" s="31"/>
      <c r="L46" s="32">
        <f t="shared" si="5"/>
        <v>0</v>
      </c>
      <c r="M46" s="32">
        <f t="shared" si="6"/>
        <v>0</v>
      </c>
      <c r="N46" s="32">
        <f t="shared" si="7"/>
        <v>0</v>
      </c>
      <c r="O46" s="35"/>
      <c r="P46" s="3"/>
    </row>
    <row r="47" spans="1:23" s="4" customFormat="1" x14ac:dyDescent="0.2">
      <c r="A47" s="34">
        <f>IF(I47&lt;&gt;"",1+MAX($A$40:A46),"")</f>
        <v>6</v>
      </c>
      <c r="B47" s="26"/>
      <c r="C47" s="26"/>
      <c r="D47" s="27"/>
      <c r="E47" s="28" t="s">
        <v>25</v>
      </c>
      <c r="F47" s="29">
        <v>1</v>
      </c>
      <c r="G47" s="36">
        <f t="shared" si="8"/>
        <v>0</v>
      </c>
      <c r="H47" s="29">
        <f t="shared" si="4"/>
        <v>1</v>
      </c>
      <c r="I47" s="30" t="s">
        <v>29</v>
      </c>
      <c r="J47" s="31"/>
      <c r="K47" s="31"/>
      <c r="L47" s="32">
        <f t="shared" si="5"/>
        <v>0</v>
      </c>
      <c r="M47" s="32">
        <f t="shared" si="6"/>
        <v>0</v>
      </c>
      <c r="N47" s="32">
        <f t="shared" si="7"/>
        <v>0</v>
      </c>
      <c r="O47" s="35"/>
      <c r="P47" s="3"/>
    </row>
    <row r="48" spans="1:23" s="4" customFormat="1" x14ac:dyDescent="0.2">
      <c r="A48" s="34">
        <f>IF(I48&lt;&gt;"",1+MAX($A$40:A47),"")</f>
        <v>7</v>
      </c>
      <c r="B48" s="26"/>
      <c r="C48" s="26"/>
      <c r="D48" s="27"/>
      <c r="E48" s="28" t="s">
        <v>26</v>
      </c>
      <c r="F48" s="29">
        <v>1</v>
      </c>
      <c r="G48" s="36">
        <f t="shared" si="8"/>
        <v>0</v>
      </c>
      <c r="H48" s="29">
        <f t="shared" si="4"/>
        <v>1</v>
      </c>
      <c r="I48" s="30" t="s">
        <v>29</v>
      </c>
      <c r="J48" s="31"/>
      <c r="K48" s="31"/>
      <c r="L48" s="32">
        <f t="shared" si="5"/>
        <v>0</v>
      </c>
      <c r="M48" s="32">
        <f t="shared" si="6"/>
        <v>0</v>
      </c>
      <c r="N48" s="32">
        <f t="shared" si="7"/>
        <v>0</v>
      </c>
      <c r="O48" s="35"/>
      <c r="P48" s="3"/>
    </row>
    <row r="49" spans="1:16" s="4" customFormat="1" x14ac:dyDescent="0.2">
      <c r="A49" s="34">
        <f>IF(I49&lt;&gt;"",1+MAX($A$40:A48),"")</f>
        <v>8</v>
      </c>
      <c r="B49" s="26"/>
      <c r="C49" s="26"/>
      <c r="D49" s="27"/>
      <c r="E49" s="28" t="s">
        <v>27</v>
      </c>
      <c r="F49" s="29">
        <v>1</v>
      </c>
      <c r="G49" s="36">
        <f t="shared" si="8"/>
        <v>0</v>
      </c>
      <c r="H49" s="29">
        <f t="shared" si="4"/>
        <v>1</v>
      </c>
      <c r="I49" s="30" t="s">
        <v>29</v>
      </c>
      <c r="J49" s="31"/>
      <c r="K49" s="31"/>
      <c r="L49" s="32">
        <f t="shared" si="5"/>
        <v>0</v>
      </c>
      <c r="M49" s="32">
        <f t="shared" si="6"/>
        <v>0</v>
      </c>
      <c r="N49" s="32">
        <f t="shared" si="7"/>
        <v>0</v>
      </c>
      <c r="O49" s="35"/>
      <c r="P49" s="3"/>
    </row>
    <row r="50" spans="1:16" s="4" customFormat="1" x14ac:dyDescent="0.2">
      <c r="A50" s="34">
        <f>IF(I50&lt;&gt;"",1+MAX($A$40:A49),"")</f>
        <v>9</v>
      </c>
      <c r="B50" s="26"/>
      <c r="C50" s="26"/>
      <c r="D50" s="27"/>
      <c r="E50" s="28" t="s">
        <v>78</v>
      </c>
      <c r="F50" s="29">
        <v>1</v>
      </c>
      <c r="G50" s="36">
        <f t="shared" si="8"/>
        <v>0</v>
      </c>
      <c r="H50" s="29">
        <f t="shared" si="4"/>
        <v>1</v>
      </c>
      <c r="I50" s="30" t="s">
        <v>29</v>
      </c>
      <c r="J50" s="31"/>
      <c r="K50" s="31"/>
      <c r="L50" s="32">
        <f t="shared" si="5"/>
        <v>0</v>
      </c>
      <c r="M50" s="32">
        <f t="shared" si="6"/>
        <v>0</v>
      </c>
      <c r="N50" s="32">
        <f t="shared" si="7"/>
        <v>0</v>
      </c>
      <c r="O50" s="35"/>
      <c r="P50" s="3"/>
    </row>
    <row r="51" spans="1:16" s="4" customFormat="1" x14ac:dyDescent="0.2">
      <c r="A51" s="34">
        <f>IF(I51&lt;&gt;"",1+MAX($A$40:A50),"")</f>
        <v>10</v>
      </c>
      <c r="B51" s="26"/>
      <c r="C51" s="26"/>
      <c r="D51" s="27"/>
      <c r="E51" s="28" t="s">
        <v>200</v>
      </c>
      <c r="F51" s="29">
        <v>1</v>
      </c>
      <c r="G51" s="36">
        <f t="shared" si="8"/>
        <v>0</v>
      </c>
      <c r="H51" s="29">
        <f t="shared" si="4"/>
        <v>1</v>
      </c>
      <c r="I51" s="30" t="s">
        <v>29</v>
      </c>
      <c r="J51" s="31"/>
      <c r="K51" s="31">
        <v>35000</v>
      </c>
      <c r="L51" s="32">
        <f t="shared" si="5"/>
        <v>0</v>
      </c>
      <c r="M51" s="32">
        <f t="shared" si="6"/>
        <v>35000</v>
      </c>
      <c r="N51" s="32">
        <f t="shared" si="7"/>
        <v>35000</v>
      </c>
      <c r="O51" s="35"/>
      <c r="P51" s="3"/>
    </row>
    <row r="52" spans="1:16" s="4" customFormat="1" x14ac:dyDescent="0.2">
      <c r="A52" s="34">
        <f>IF(I52&lt;&gt;"",1+MAX($A$40:A51),"")</f>
        <v>11</v>
      </c>
      <c r="B52" s="26"/>
      <c r="C52" s="26"/>
      <c r="D52" s="27"/>
      <c r="E52" s="28" t="s">
        <v>201</v>
      </c>
      <c r="F52" s="29">
        <v>1</v>
      </c>
      <c r="G52" s="36">
        <f t="shared" si="8"/>
        <v>0</v>
      </c>
      <c r="H52" s="29">
        <f t="shared" si="4"/>
        <v>1</v>
      </c>
      <c r="I52" s="30" t="s">
        <v>29</v>
      </c>
      <c r="J52" s="31"/>
      <c r="K52" s="31">
        <v>30000</v>
      </c>
      <c r="L52" s="32">
        <f t="shared" si="5"/>
        <v>0</v>
      </c>
      <c r="M52" s="32">
        <f t="shared" si="6"/>
        <v>30000</v>
      </c>
      <c r="N52" s="32">
        <f t="shared" si="7"/>
        <v>30000</v>
      </c>
      <c r="O52" s="35"/>
      <c r="P52" s="3"/>
    </row>
    <row r="53" spans="1:16" s="4" customFormat="1" ht="18" customHeight="1" x14ac:dyDescent="0.2">
      <c r="A53" s="57" t="str">
        <f>IF(I53&lt;&gt;"",1+MAX($A$40:A52),"")</f>
        <v/>
      </c>
      <c r="B53" s="58"/>
      <c r="C53" s="58"/>
      <c r="D53" s="59" t="s">
        <v>32</v>
      </c>
      <c r="E53" s="60" t="s">
        <v>31</v>
      </c>
      <c r="F53" s="66"/>
      <c r="G53" s="65"/>
      <c r="H53" s="66"/>
      <c r="I53" s="58"/>
      <c r="J53" s="63"/>
      <c r="K53" s="63"/>
      <c r="L53" s="63"/>
      <c r="M53" s="63"/>
      <c r="N53" s="67"/>
      <c r="O53" s="64">
        <f>SUM(N54:N459)</f>
        <v>1515207.5706568635</v>
      </c>
      <c r="P53" s="3"/>
    </row>
    <row r="54" spans="1:16" s="4" customFormat="1" x14ac:dyDescent="0.2">
      <c r="A54" s="34" t="str">
        <f>IF(I54&lt;&gt;"",1+MAX($A$40:A53),"")</f>
        <v/>
      </c>
      <c r="B54" s="26"/>
      <c r="C54" s="26"/>
      <c r="D54" s="27"/>
      <c r="E54" s="103" t="s">
        <v>199</v>
      </c>
      <c r="F54" s="120"/>
      <c r="G54" s="96"/>
      <c r="H54" s="96"/>
      <c r="I54" s="96"/>
      <c r="J54" s="31"/>
      <c r="K54" s="31"/>
      <c r="L54" s="32" t="str">
        <f t="shared" ref="L54:L57" si="9">IF(F54=0,"",J54*H54)</f>
        <v/>
      </c>
      <c r="M54" s="32" t="str">
        <f t="shared" ref="M54:M57" si="10">IF(F54=0,"",K54*H54)</f>
        <v/>
      </c>
      <c r="N54" s="32" t="str">
        <f t="shared" ref="N54:N57" si="11">IF(F54=0,"",L54+M54)</f>
        <v/>
      </c>
      <c r="O54" s="35"/>
      <c r="P54" s="3"/>
    </row>
    <row r="55" spans="1:16" s="4" customFormat="1" ht="63" x14ac:dyDescent="0.2">
      <c r="A55" s="34">
        <f>IF(I55&lt;&gt;"",1+MAX($A$40:A54),"")</f>
        <v>12</v>
      </c>
      <c r="B55" s="26"/>
      <c r="C55" s="26"/>
      <c r="D55" s="27"/>
      <c r="E55" s="97" t="s">
        <v>184</v>
      </c>
      <c r="F55" s="120">
        <v>7565</v>
      </c>
      <c r="G55" s="36">
        <v>0.1</v>
      </c>
      <c r="H55" s="29">
        <f t="shared" ref="H55:H57" si="12">IF(F55=0,"",F55*(1+G55))</f>
        <v>8321.5</v>
      </c>
      <c r="I55" s="96" t="s">
        <v>81</v>
      </c>
      <c r="J55" s="31">
        <v>5.16</v>
      </c>
      <c r="K55" s="31">
        <v>2.2799999999999998</v>
      </c>
      <c r="L55" s="32">
        <f t="shared" si="9"/>
        <v>42938.94</v>
      </c>
      <c r="M55" s="32">
        <f t="shared" si="10"/>
        <v>18973.019999999997</v>
      </c>
      <c r="N55" s="32">
        <f t="shared" si="11"/>
        <v>61911.96</v>
      </c>
      <c r="O55" s="35"/>
      <c r="P55" s="3"/>
    </row>
    <row r="56" spans="1:16" s="4" customFormat="1" ht="78.75" x14ac:dyDescent="0.2">
      <c r="A56" s="34">
        <f>IF(I56&lt;&gt;"",1+MAX($A$40:A55),"")</f>
        <v>13</v>
      </c>
      <c r="B56" s="26"/>
      <c r="C56" s="26"/>
      <c r="D56" s="27"/>
      <c r="E56" s="97" t="s">
        <v>185</v>
      </c>
      <c r="F56" s="120">
        <v>3581.22</v>
      </c>
      <c r="G56" s="36">
        <v>0.1</v>
      </c>
      <c r="H56" s="29">
        <f t="shared" si="12"/>
        <v>3939.3420000000001</v>
      </c>
      <c r="I56" s="96" t="s">
        <v>81</v>
      </c>
      <c r="J56" s="31">
        <v>4.9000000000000004</v>
      </c>
      <c r="K56" s="31">
        <v>2.15</v>
      </c>
      <c r="L56" s="32">
        <f t="shared" si="9"/>
        <v>19302.775800000003</v>
      </c>
      <c r="M56" s="32">
        <f t="shared" si="10"/>
        <v>8469.5853000000006</v>
      </c>
      <c r="N56" s="32">
        <f t="shared" si="11"/>
        <v>27772.361100000002</v>
      </c>
      <c r="O56" s="35"/>
      <c r="P56" s="3"/>
    </row>
    <row r="57" spans="1:16" s="4" customFormat="1" ht="78.75" x14ac:dyDescent="0.2">
      <c r="A57" s="34">
        <f>IF(I57&lt;&gt;"",1+MAX($A$40:A56),"")</f>
        <v>14</v>
      </c>
      <c r="B57" s="26"/>
      <c r="C57" s="26"/>
      <c r="D57" s="27"/>
      <c r="E57" s="97" t="s">
        <v>186</v>
      </c>
      <c r="F57" s="120">
        <v>485</v>
      </c>
      <c r="G57" s="36">
        <v>0.1</v>
      </c>
      <c r="H57" s="29">
        <f t="shared" si="12"/>
        <v>533.5</v>
      </c>
      <c r="I57" s="96" t="s">
        <v>81</v>
      </c>
      <c r="J57" s="31">
        <v>5.16</v>
      </c>
      <c r="K57" s="31">
        <v>2.2799999999999998</v>
      </c>
      <c r="L57" s="32">
        <f t="shared" si="9"/>
        <v>2752.86</v>
      </c>
      <c r="M57" s="32">
        <f t="shared" si="10"/>
        <v>1216.3799999999999</v>
      </c>
      <c r="N57" s="32">
        <f t="shared" si="11"/>
        <v>3969.24</v>
      </c>
      <c r="O57" s="35"/>
      <c r="P57" s="3"/>
    </row>
    <row r="58" spans="1:16" s="4" customFormat="1" x14ac:dyDescent="0.2">
      <c r="A58" s="34" t="str">
        <f>IF(I58&lt;&gt;"",1+MAX($A$40:A57),"")</f>
        <v/>
      </c>
      <c r="B58" s="26"/>
      <c r="C58" s="26"/>
      <c r="D58" s="27"/>
      <c r="E58" s="95" t="s">
        <v>187</v>
      </c>
      <c r="F58" s="120"/>
      <c r="G58" s="96"/>
      <c r="H58" s="96"/>
      <c r="I58" s="96"/>
      <c r="J58" s="31"/>
      <c r="K58" s="31"/>
      <c r="L58" s="32"/>
      <c r="M58" s="32"/>
      <c r="N58" s="32"/>
      <c r="O58" s="35"/>
      <c r="P58" s="3"/>
    </row>
    <row r="59" spans="1:16" s="4" customFormat="1" ht="110.25" x14ac:dyDescent="0.2">
      <c r="A59" s="34">
        <f>IF(I59&lt;&gt;"",1+MAX($A$40:A58),"")</f>
        <v>15</v>
      </c>
      <c r="B59" s="26"/>
      <c r="C59" s="26"/>
      <c r="D59" s="27"/>
      <c r="E59" s="97" t="s">
        <v>188</v>
      </c>
      <c r="F59" s="120">
        <v>4285</v>
      </c>
      <c r="G59" s="36">
        <v>0.1</v>
      </c>
      <c r="H59" s="29">
        <f t="shared" ref="H59" si="13">IF(F59=0,"",F59*(1+G59))</f>
        <v>4713.5</v>
      </c>
      <c r="I59" s="96" t="s">
        <v>81</v>
      </c>
      <c r="J59" s="31">
        <v>12.85</v>
      </c>
      <c r="K59" s="31">
        <v>5.36</v>
      </c>
      <c r="L59" s="32">
        <f t="shared" ref="L59" si="14">IF(F59=0,"",J59*H59)</f>
        <v>60568.474999999999</v>
      </c>
      <c r="M59" s="32">
        <f t="shared" ref="M59" si="15">IF(F59=0,"",K59*H59)</f>
        <v>25264.36</v>
      </c>
      <c r="N59" s="32">
        <f t="shared" ref="N59" si="16">IF(F59=0,"",L59+M59)</f>
        <v>85832.834999999992</v>
      </c>
      <c r="O59" s="35"/>
      <c r="P59" s="3"/>
    </row>
    <row r="60" spans="1:16" s="4" customFormat="1" x14ac:dyDescent="0.2">
      <c r="A60" s="34" t="str">
        <f>IF(I60&lt;&gt;"",1+MAX($A$40:A59),"")</f>
        <v/>
      </c>
      <c r="B60" s="26"/>
      <c r="C60" s="26"/>
      <c r="D60" s="27"/>
      <c r="E60" s="95" t="s">
        <v>189</v>
      </c>
      <c r="F60" s="120"/>
      <c r="G60" s="96"/>
      <c r="H60" s="96"/>
      <c r="I60" s="96"/>
      <c r="J60" s="31"/>
      <c r="K60" s="31"/>
      <c r="L60" s="32"/>
      <c r="M60" s="32"/>
      <c r="N60" s="32"/>
      <c r="O60" s="35"/>
      <c r="P60" s="3"/>
    </row>
    <row r="61" spans="1:16" s="4" customFormat="1" ht="31.5" x14ac:dyDescent="0.2">
      <c r="A61" s="34">
        <f>IF(I61&lt;&gt;"",1+MAX($A$40:A60),"")</f>
        <v>16</v>
      </c>
      <c r="B61" s="26"/>
      <c r="C61" s="26"/>
      <c r="D61" s="27"/>
      <c r="E61" s="97" t="s">
        <v>190</v>
      </c>
      <c r="F61" s="120">
        <f>991/40</f>
        <v>24.774999999999999</v>
      </c>
      <c r="G61" s="36">
        <v>0.1</v>
      </c>
      <c r="H61" s="29">
        <f t="shared" ref="H61" si="17">IF(F61=0,"",F61*(1+G61))</f>
        <v>27.252500000000001</v>
      </c>
      <c r="I61" s="96" t="s">
        <v>82</v>
      </c>
      <c r="J61" s="31">
        <v>45.3</v>
      </c>
      <c r="K61" s="31">
        <v>88.6</v>
      </c>
      <c r="L61" s="32">
        <f t="shared" ref="L61" si="18">IF(F61=0,"",J61*H61)</f>
        <v>1234.5382500000001</v>
      </c>
      <c r="M61" s="32">
        <f t="shared" ref="M61" si="19">IF(F61=0,"",K61*H61)</f>
        <v>2414.5715</v>
      </c>
      <c r="N61" s="32">
        <f t="shared" ref="N61" si="20">IF(F61=0,"",L61+M61)</f>
        <v>3649.1097500000001</v>
      </c>
      <c r="O61" s="35"/>
      <c r="P61" s="3"/>
    </row>
    <row r="62" spans="1:16" s="4" customFormat="1" x14ac:dyDescent="0.2">
      <c r="A62" s="34" t="str">
        <f>IF(I62&lt;&gt;"",1+MAX($A$40:A61),"")</f>
        <v/>
      </c>
      <c r="B62" s="26"/>
      <c r="C62" s="26"/>
      <c r="D62" s="27"/>
      <c r="E62" s="95" t="s">
        <v>191</v>
      </c>
      <c r="F62" s="120"/>
      <c r="G62" s="96"/>
      <c r="H62" s="96"/>
      <c r="I62" s="96"/>
      <c r="J62" s="31"/>
      <c r="K62" s="31"/>
      <c r="L62" s="32"/>
      <c r="M62" s="32"/>
      <c r="N62" s="32"/>
      <c r="O62" s="35"/>
      <c r="P62" s="3"/>
    </row>
    <row r="63" spans="1:16" s="4" customFormat="1" ht="94.5" x14ac:dyDescent="0.2">
      <c r="A63" s="34">
        <f>IF(I63&lt;&gt;"",1+MAX($A$40:A62),"")</f>
        <v>17</v>
      </c>
      <c r="B63" s="26"/>
      <c r="C63" s="26"/>
      <c r="D63" s="27"/>
      <c r="E63" s="97" t="s">
        <v>192</v>
      </c>
      <c r="F63" s="120">
        <v>990.54</v>
      </c>
      <c r="G63" s="36">
        <v>0.1</v>
      </c>
      <c r="H63" s="29">
        <f t="shared" ref="H63" si="21">IF(F63=0,"",F63*(1+G63))</f>
        <v>1089.5940000000001</v>
      </c>
      <c r="I63" s="96" t="s">
        <v>81</v>
      </c>
      <c r="J63" s="31">
        <v>3.56</v>
      </c>
      <c r="K63" s="31">
        <v>1.8</v>
      </c>
      <c r="L63" s="32">
        <f t="shared" ref="L63" si="22">IF(F63=0,"",J63*H63)</f>
        <v>3878.9546400000004</v>
      </c>
      <c r="M63" s="32">
        <f t="shared" ref="M63" si="23">IF(F63=0,"",K63*H63)</f>
        <v>1961.2692000000002</v>
      </c>
      <c r="N63" s="32">
        <f t="shared" ref="N63" si="24">IF(F63=0,"",L63+M63)</f>
        <v>5840.2238400000006</v>
      </c>
      <c r="O63" s="35"/>
      <c r="P63" s="3"/>
    </row>
    <row r="64" spans="1:16" s="4" customFormat="1" x14ac:dyDescent="0.2">
      <c r="A64" s="34" t="str">
        <f>IF(I64&lt;&gt;"",1+MAX($A$40:A63),"")</f>
        <v/>
      </c>
      <c r="B64" s="26"/>
      <c r="C64" s="26"/>
      <c r="D64" s="27"/>
      <c r="E64" s="95" t="s">
        <v>193</v>
      </c>
      <c r="F64" s="120"/>
      <c r="G64" s="96"/>
      <c r="H64" s="96"/>
      <c r="I64" s="96"/>
      <c r="J64" s="31"/>
      <c r="K64" s="31"/>
      <c r="L64" s="32"/>
      <c r="M64" s="32"/>
      <c r="N64" s="32"/>
      <c r="O64" s="35"/>
      <c r="P64" s="3"/>
    </row>
    <row r="65" spans="1:16" s="4" customFormat="1" x14ac:dyDescent="0.2">
      <c r="A65" s="34">
        <f>IF(I65&lt;&gt;"",1+MAX($A$40:A64),"")</f>
        <v>18</v>
      </c>
      <c r="B65" s="26"/>
      <c r="C65" s="26"/>
      <c r="D65" s="27"/>
      <c r="E65" s="98" t="s">
        <v>194</v>
      </c>
      <c r="F65" s="120">
        <v>160</v>
      </c>
      <c r="G65" s="36">
        <v>0.1</v>
      </c>
      <c r="H65" s="29">
        <f t="shared" ref="H65" si="25">IF(F65=0,"",F65*(1+G65))</f>
        <v>176</v>
      </c>
      <c r="I65" s="96" t="s">
        <v>82</v>
      </c>
      <c r="J65" s="31">
        <v>38.799999999999997</v>
      </c>
      <c r="K65" s="31">
        <v>79.2</v>
      </c>
      <c r="L65" s="32">
        <f t="shared" ref="L65" si="26">IF(F65=0,"",J65*H65)</f>
        <v>6828.7999999999993</v>
      </c>
      <c r="M65" s="32">
        <f t="shared" ref="M65" si="27">IF(F65=0,"",K65*H65)</f>
        <v>13939.2</v>
      </c>
      <c r="N65" s="32">
        <f t="shared" ref="N65" si="28">IF(F65=0,"",L65+M65)</f>
        <v>20768</v>
      </c>
      <c r="O65" s="35"/>
      <c r="P65" s="3"/>
    </row>
    <row r="66" spans="1:16" s="4" customFormat="1" x14ac:dyDescent="0.2">
      <c r="A66" s="34" t="str">
        <f>IF(I66&lt;&gt;"",1+MAX($A$40:A65),"")</f>
        <v/>
      </c>
      <c r="B66" s="26"/>
      <c r="C66" s="26"/>
      <c r="D66" s="27"/>
      <c r="E66" s="95" t="s">
        <v>195</v>
      </c>
      <c r="F66" s="120"/>
      <c r="G66" s="96"/>
      <c r="H66" s="96"/>
      <c r="I66" s="96"/>
      <c r="J66" s="31"/>
      <c r="K66" s="31"/>
      <c r="L66" s="32"/>
      <c r="M66" s="32"/>
      <c r="N66" s="32"/>
      <c r="O66" s="35"/>
      <c r="P66" s="3"/>
    </row>
    <row r="67" spans="1:16" s="4" customFormat="1" x14ac:dyDescent="0.2">
      <c r="A67" s="34">
        <f>IF(I67&lt;&gt;"",1+MAX($A$40:A66),"")</f>
        <v>19</v>
      </c>
      <c r="B67" s="26"/>
      <c r="C67" s="26"/>
      <c r="D67" s="27"/>
      <c r="E67" s="97" t="s">
        <v>196</v>
      </c>
      <c r="F67" s="120">
        <f>4788.94736842105/20</f>
        <v>239.44736842105249</v>
      </c>
      <c r="G67" s="36">
        <v>0.1</v>
      </c>
      <c r="H67" s="29">
        <f t="shared" ref="H67:H69" si="29">IF(F67=0,"",F67*(1+G67))</f>
        <v>263.39210526315776</v>
      </c>
      <c r="I67" s="96" t="s">
        <v>79</v>
      </c>
      <c r="J67" s="31">
        <f>1.45*20</f>
        <v>29</v>
      </c>
      <c r="K67" s="31">
        <f>1.42*20</f>
        <v>28.4</v>
      </c>
      <c r="L67" s="32">
        <f t="shared" ref="L67:L69" si="30">IF(F67=0,"",J67*H67)</f>
        <v>7638.3710526315754</v>
      </c>
      <c r="M67" s="32">
        <f t="shared" ref="M67:M69" si="31">IF(F67=0,"",K67*H67)</f>
        <v>7480.3357894736801</v>
      </c>
      <c r="N67" s="32">
        <f t="shared" ref="N67:N69" si="32">IF(F67=0,"",L67+M67)</f>
        <v>15118.706842105255</v>
      </c>
      <c r="O67" s="35"/>
      <c r="P67" s="3"/>
    </row>
    <row r="68" spans="1:16" s="4" customFormat="1" ht="31.5" x14ac:dyDescent="0.2">
      <c r="A68" s="34">
        <f>IF(I68&lt;&gt;"",1+MAX($A$40:A67),"")</f>
        <v>20</v>
      </c>
      <c r="B68" s="26"/>
      <c r="C68" s="26"/>
      <c r="D68" s="27"/>
      <c r="E68" s="97" t="s">
        <v>197</v>
      </c>
      <c r="F68" s="120">
        <f>5096/32</f>
        <v>159.25</v>
      </c>
      <c r="G68" s="36">
        <v>0.1</v>
      </c>
      <c r="H68" s="29">
        <f t="shared" si="29"/>
        <v>175.17500000000001</v>
      </c>
      <c r="I68" s="96" t="s">
        <v>79</v>
      </c>
      <c r="J68" s="31">
        <f>1.32*32</f>
        <v>42.24</v>
      </c>
      <c r="K68" s="31">
        <f>1.28*32</f>
        <v>40.96</v>
      </c>
      <c r="L68" s="32">
        <f t="shared" si="30"/>
        <v>7399.3920000000007</v>
      </c>
      <c r="M68" s="32">
        <f t="shared" si="31"/>
        <v>7175.1680000000006</v>
      </c>
      <c r="N68" s="32">
        <f t="shared" si="32"/>
        <v>14574.560000000001</v>
      </c>
      <c r="O68" s="35"/>
      <c r="P68" s="3"/>
    </row>
    <row r="69" spans="1:16" s="4" customFormat="1" ht="31.5" x14ac:dyDescent="0.2">
      <c r="A69" s="34">
        <f>IF(I69&lt;&gt;"",1+MAX($A$40:A68),"")</f>
        <v>21</v>
      </c>
      <c r="B69" s="26"/>
      <c r="C69" s="26"/>
      <c r="D69" s="27"/>
      <c r="E69" s="97" t="s">
        <v>198</v>
      </c>
      <c r="F69" s="120">
        <f>607/8</f>
        <v>75.875</v>
      </c>
      <c r="G69" s="36">
        <v>0.1</v>
      </c>
      <c r="H69" s="29">
        <f t="shared" si="29"/>
        <v>83.462500000000006</v>
      </c>
      <c r="I69" s="96" t="s">
        <v>79</v>
      </c>
      <c r="J69" s="31">
        <f>1.45*8</f>
        <v>11.6</v>
      </c>
      <c r="K69" s="31">
        <f>1.42*8</f>
        <v>11.36</v>
      </c>
      <c r="L69" s="32">
        <f t="shared" si="30"/>
        <v>968.16500000000008</v>
      </c>
      <c r="M69" s="32">
        <f t="shared" si="31"/>
        <v>948.13400000000001</v>
      </c>
      <c r="N69" s="32">
        <f t="shared" si="32"/>
        <v>1916.299</v>
      </c>
      <c r="O69" s="35"/>
      <c r="P69" s="3"/>
    </row>
    <row r="70" spans="1:16" s="4" customFormat="1" x14ac:dyDescent="0.25">
      <c r="A70" s="34" t="str">
        <f>IF(I70&lt;&gt;"",1+MAX($A$40:A69),"")</f>
        <v/>
      </c>
      <c r="B70" s="26"/>
      <c r="C70" s="26"/>
      <c r="D70" s="27"/>
      <c r="E70" s="95" t="s">
        <v>83</v>
      </c>
      <c r="F70" s="121"/>
      <c r="G70" s="99"/>
      <c r="H70" s="99"/>
      <c r="I70" s="39"/>
      <c r="J70" s="31"/>
      <c r="K70" s="31"/>
      <c r="L70" s="32"/>
      <c r="M70" s="32"/>
      <c r="N70" s="32"/>
      <c r="O70" s="35"/>
      <c r="P70" s="3"/>
    </row>
    <row r="71" spans="1:16" s="4" customFormat="1" x14ac:dyDescent="0.25">
      <c r="A71" s="34" t="str">
        <f>IF(I71&lt;&gt;"",1+MAX($A$40:A70),"")</f>
        <v/>
      </c>
      <c r="B71" s="26"/>
      <c r="C71" s="26"/>
      <c r="D71" s="27"/>
      <c r="E71" s="100" t="s">
        <v>84</v>
      </c>
      <c r="F71" s="121"/>
      <c r="G71" s="99"/>
      <c r="H71" s="99"/>
      <c r="I71" s="39"/>
      <c r="J71" s="31"/>
      <c r="K71" s="31"/>
      <c r="L71" s="32"/>
      <c r="M71" s="32"/>
      <c r="N71" s="32"/>
      <c r="O71" s="35"/>
      <c r="P71" s="3"/>
    </row>
    <row r="72" spans="1:16" s="4" customFormat="1" x14ac:dyDescent="0.25">
      <c r="A72" s="34">
        <f>IF(I72&lt;&gt;"",1+MAX($A$40:A71),"")</f>
        <v>22</v>
      </c>
      <c r="B72" s="26"/>
      <c r="C72" s="26"/>
      <c r="D72" s="27"/>
      <c r="E72" s="101" t="s">
        <v>85</v>
      </c>
      <c r="F72" s="122">
        <v>72.222499999999997</v>
      </c>
      <c r="G72" s="36">
        <v>0.1</v>
      </c>
      <c r="H72" s="29">
        <f t="shared" ref="H72" si="33">IF(F72=0,"",F72*(1+G72))</f>
        <v>79.444749999999999</v>
      </c>
      <c r="I72" s="39" t="s">
        <v>82</v>
      </c>
      <c r="J72" s="31">
        <f>2.9*32</f>
        <v>92.8</v>
      </c>
      <c r="K72" s="31">
        <v>72.86399999999999</v>
      </c>
      <c r="L72" s="32">
        <f t="shared" ref="L72" si="34">IF(F72=0,"",J72*H72)</f>
        <v>7372.4727999999996</v>
      </c>
      <c r="M72" s="32">
        <f t="shared" ref="M72" si="35">IF(F72=0,"",K72*H72)</f>
        <v>5788.6622639999996</v>
      </c>
      <c r="N72" s="32">
        <f t="shared" ref="N72" si="36">IF(F72=0,"",L72+M72)</f>
        <v>13161.135063999998</v>
      </c>
      <c r="O72" s="35"/>
      <c r="P72" s="3"/>
    </row>
    <row r="73" spans="1:16" s="4" customFormat="1" x14ac:dyDescent="0.25">
      <c r="A73" s="34" t="str">
        <f>IF(I73&lt;&gt;"",1+MAX($A$40:A72),"")</f>
        <v/>
      </c>
      <c r="B73" s="26"/>
      <c r="C73" s="26"/>
      <c r="D73" s="27"/>
      <c r="E73" s="100" t="s">
        <v>86</v>
      </c>
      <c r="F73" s="122"/>
      <c r="G73" s="99"/>
      <c r="H73" s="99"/>
      <c r="I73" s="39"/>
      <c r="J73" s="31"/>
      <c r="K73" s="31"/>
      <c r="L73" s="32"/>
      <c r="M73" s="32"/>
      <c r="N73" s="32"/>
      <c r="O73" s="35"/>
      <c r="P73" s="3"/>
    </row>
    <row r="74" spans="1:16" s="4" customFormat="1" x14ac:dyDescent="0.25">
      <c r="A74" s="34">
        <f>IF(I74&lt;&gt;"",1+MAX($A$40:A73),"")</f>
        <v>23</v>
      </c>
      <c r="B74" s="26"/>
      <c r="C74" s="26"/>
      <c r="D74" s="27"/>
      <c r="E74" s="101" t="s">
        <v>87</v>
      </c>
      <c r="F74" s="122">
        <v>13.062000000000001</v>
      </c>
      <c r="G74" s="36">
        <v>0.1</v>
      </c>
      <c r="H74" s="29">
        <f t="shared" ref="H74:H75" si="37">IF(F74=0,"",F74*(1+G74))</f>
        <v>14.368200000000002</v>
      </c>
      <c r="I74" s="39" t="s">
        <v>82</v>
      </c>
      <c r="J74" s="31">
        <f>0.89*40</f>
        <v>35.6</v>
      </c>
      <c r="K74" s="31">
        <f>1.86*40</f>
        <v>74.400000000000006</v>
      </c>
      <c r="L74" s="32">
        <f t="shared" ref="L74:L75" si="38">IF(F74=0,"",J74*H74)</f>
        <v>511.50792000000007</v>
      </c>
      <c r="M74" s="32">
        <f t="shared" ref="M74:M75" si="39">IF(F74=0,"",K74*H74)</f>
        <v>1068.9940800000002</v>
      </c>
      <c r="N74" s="32">
        <f t="shared" ref="N74:N75" si="40">IF(F74=0,"",L74+M74)</f>
        <v>1580.5020000000002</v>
      </c>
      <c r="O74" s="35"/>
      <c r="P74" s="3"/>
    </row>
    <row r="75" spans="1:16" s="4" customFormat="1" x14ac:dyDescent="0.25">
      <c r="A75" s="34">
        <f>IF(I75&lt;&gt;"",1+MAX($A$40:A74),"")</f>
        <v>24</v>
      </c>
      <c r="B75" s="26"/>
      <c r="C75" s="26"/>
      <c r="D75" s="27"/>
      <c r="E75" s="101" t="s">
        <v>88</v>
      </c>
      <c r="F75" s="122">
        <v>3.4287750000000004</v>
      </c>
      <c r="G75" s="36">
        <v>0.1</v>
      </c>
      <c r="H75" s="29">
        <f t="shared" si="37"/>
        <v>3.7716525000000005</v>
      </c>
      <c r="I75" s="39" t="s">
        <v>82</v>
      </c>
      <c r="J75" s="31">
        <f>1.45*40</f>
        <v>58</v>
      </c>
      <c r="K75" s="31">
        <f>3.36*40</f>
        <v>134.4</v>
      </c>
      <c r="L75" s="32">
        <f t="shared" si="38"/>
        <v>218.75584500000002</v>
      </c>
      <c r="M75" s="32">
        <f t="shared" si="39"/>
        <v>506.91009600000007</v>
      </c>
      <c r="N75" s="32">
        <f t="shared" si="40"/>
        <v>725.66594100000009</v>
      </c>
      <c r="O75" s="35"/>
      <c r="P75" s="3"/>
    </row>
    <row r="76" spans="1:16" s="4" customFormat="1" x14ac:dyDescent="0.25">
      <c r="A76" s="34" t="str">
        <f>IF(I76&lt;&gt;"",1+MAX($A$40:A75),"")</f>
        <v/>
      </c>
      <c r="B76" s="26"/>
      <c r="C76" s="26"/>
      <c r="D76" s="27"/>
      <c r="E76" s="100" t="s">
        <v>89</v>
      </c>
      <c r="F76" s="122"/>
      <c r="G76" s="99"/>
      <c r="H76" s="99"/>
      <c r="I76" s="39"/>
      <c r="J76" s="31"/>
      <c r="K76" s="31"/>
      <c r="L76" s="32"/>
      <c r="M76" s="32"/>
      <c r="N76" s="32"/>
      <c r="O76" s="35"/>
      <c r="P76" s="3"/>
    </row>
    <row r="77" spans="1:16" s="4" customFormat="1" x14ac:dyDescent="0.25">
      <c r="A77" s="34">
        <f>IF(I77&lt;&gt;"",1+MAX($A$40:A76),"")</f>
        <v>25</v>
      </c>
      <c r="B77" s="26"/>
      <c r="C77" s="26"/>
      <c r="D77" s="27"/>
      <c r="E77" s="102" t="s">
        <v>90</v>
      </c>
      <c r="F77" s="122">
        <v>1.94625</v>
      </c>
      <c r="G77" s="36">
        <v>0.1</v>
      </c>
      <c r="H77" s="29">
        <f t="shared" ref="H77:H81" si="41">IF(F77=0,"",F77*(1+G77))</f>
        <v>2.1408750000000003</v>
      </c>
      <c r="I77" s="39" t="s">
        <v>79</v>
      </c>
      <c r="J77" s="31">
        <f>1.85*16</f>
        <v>29.6</v>
      </c>
      <c r="K77" s="31">
        <f>1.82*16</f>
        <v>29.12</v>
      </c>
      <c r="L77" s="32">
        <f t="shared" ref="L77:L81" si="42">IF(F77=0,"",J77*H77)</f>
        <v>63.369900000000015</v>
      </c>
      <c r="M77" s="32">
        <f t="shared" ref="M77:M81" si="43">IF(F77=0,"",K77*H77)</f>
        <v>62.342280000000009</v>
      </c>
      <c r="N77" s="32">
        <f t="shared" ref="N77:N81" si="44">IF(F77=0,"",L77+M77)</f>
        <v>125.71218000000002</v>
      </c>
      <c r="O77" s="35"/>
      <c r="P77" s="3"/>
    </row>
    <row r="78" spans="1:16" s="4" customFormat="1" x14ac:dyDescent="0.25">
      <c r="A78" s="34">
        <f>IF(I78&lt;&gt;"",1+MAX($A$40:A77),"")</f>
        <v>26</v>
      </c>
      <c r="B78" s="26"/>
      <c r="C78" s="26"/>
      <c r="D78" s="27"/>
      <c r="E78" s="101" t="s">
        <v>91</v>
      </c>
      <c r="F78" s="122">
        <v>1.94625</v>
      </c>
      <c r="G78" s="36">
        <v>0.1</v>
      </c>
      <c r="H78" s="29">
        <f t="shared" si="41"/>
        <v>2.1408750000000003</v>
      </c>
      <c r="I78" s="39" t="s">
        <v>79</v>
      </c>
      <c r="J78" s="31">
        <f>1.85*16</f>
        <v>29.6</v>
      </c>
      <c r="K78" s="31">
        <f>1.82*16</f>
        <v>29.12</v>
      </c>
      <c r="L78" s="32">
        <f t="shared" si="42"/>
        <v>63.369900000000015</v>
      </c>
      <c r="M78" s="32">
        <f t="shared" si="43"/>
        <v>62.342280000000009</v>
      </c>
      <c r="N78" s="32">
        <f t="shared" si="44"/>
        <v>125.71218000000002</v>
      </c>
      <c r="O78" s="35"/>
      <c r="P78" s="3"/>
    </row>
    <row r="79" spans="1:16" s="4" customFormat="1" x14ac:dyDescent="0.25">
      <c r="A79" s="34">
        <f>IF(I79&lt;&gt;"",1+MAX($A$40:A78),"")</f>
        <v>27</v>
      </c>
      <c r="B79" s="26"/>
      <c r="C79" s="26"/>
      <c r="D79" s="27"/>
      <c r="E79" s="101" t="s">
        <v>92</v>
      </c>
      <c r="F79" s="122">
        <v>24.413533834586467</v>
      </c>
      <c r="G79" s="36">
        <v>0.1</v>
      </c>
      <c r="H79" s="29">
        <f t="shared" si="41"/>
        <v>26.854887218045114</v>
      </c>
      <c r="I79" s="39" t="s">
        <v>79</v>
      </c>
      <c r="J79" s="31">
        <f>1.22*30.66</f>
        <v>37.405200000000001</v>
      </c>
      <c r="K79" s="31">
        <f>1.25*30.66</f>
        <v>38.325000000000003</v>
      </c>
      <c r="L79" s="32">
        <f t="shared" si="42"/>
        <v>1004.5124273684211</v>
      </c>
      <c r="M79" s="32">
        <f t="shared" si="43"/>
        <v>1029.213552631579</v>
      </c>
      <c r="N79" s="32">
        <f t="shared" si="44"/>
        <v>2033.7259800000002</v>
      </c>
      <c r="O79" s="35"/>
      <c r="P79" s="3"/>
    </row>
    <row r="80" spans="1:16" s="4" customFormat="1" x14ac:dyDescent="0.25">
      <c r="A80" s="34">
        <f>IF(I80&lt;&gt;"",1+MAX($A$40:A79),"")</f>
        <v>28</v>
      </c>
      <c r="B80" s="26"/>
      <c r="C80" s="26"/>
      <c r="D80" s="27"/>
      <c r="E80" s="101" t="s">
        <v>93</v>
      </c>
      <c r="F80" s="122">
        <v>23.876595000000002</v>
      </c>
      <c r="G80" s="36">
        <v>0.1</v>
      </c>
      <c r="H80" s="29">
        <f t="shared" si="41"/>
        <v>26.264254500000003</v>
      </c>
      <c r="I80" s="39" t="s">
        <v>82</v>
      </c>
      <c r="J80" s="31">
        <f>0.89*40</f>
        <v>35.6</v>
      </c>
      <c r="K80" s="31">
        <f>1.86*40</f>
        <v>74.400000000000006</v>
      </c>
      <c r="L80" s="32">
        <f t="shared" si="42"/>
        <v>935.0074602000002</v>
      </c>
      <c r="M80" s="32">
        <f t="shared" si="43"/>
        <v>1954.0605348000004</v>
      </c>
      <c r="N80" s="32">
        <f t="shared" si="44"/>
        <v>2889.0679950000003</v>
      </c>
      <c r="O80" s="35"/>
      <c r="P80" s="3"/>
    </row>
    <row r="81" spans="1:16" s="4" customFormat="1" x14ac:dyDescent="0.25">
      <c r="A81" s="34">
        <f>IF(I81&lt;&gt;"",1+MAX($A$40:A80),"")</f>
        <v>29</v>
      </c>
      <c r="B81" s="26"/>
      <c r="C81" s="26"/>
      <c r="D81" s="27"/>
      <c r="E81" s="101" t="s">
        <v>94</v>
      </c>
      <c r="F81" s="122">
        <v>62.28</v>
      </c>
      <c r="G81" s="36">
        <v>0.1</v>
      </c>
      <c r="H81" s="29">
        <f t="shared" si="41"/>
        <v>68.50800000000001</v>
      </c>
      <c r="I81" s="39" t="s">
        <v>80</v>
      </c>
      <c r="J81" s="31">
        <v>0.22</v>
      </c>
      <c r="K81" s="31">
        <v>0.74749999999999994</v>
      </c>
      <c r="L81" s="32">
        <f t="shared" si="42"/>
        <v>15.071760000000003</v>
      </c>
      <c r="M81" s="32">
        <f t="shared" si="43"/>
        <v>51.20973</v>
      </c>
      <c r="N81" s="32">
        <f t="shared" si="44"/>
        <v>66.281490000000005</v>
      </c>
      <c r="O81" s="35"/>
      <c r="P81" s="3"/>
    </row>
    <row r="82" spans="1:16" s="4" customFormat="1" x14ac:dyDescent="0.25">
      <c r="A82" s="34" t="str">
        <f>IF(I82&lt;&gt;"",1+MAX($A$40:A81),"")</f>
        <v/>
      </c>
      <c r="B82" s="26"/>
      <c r="C82" s="26"/>
      <c r="D82" s="27"/>
      <c r="E82" s="100" t="s">
        <v>95</v>
      </c>
      <c r="F82" s="122"/>
      <c r="G82" s="99"/>
      <c r="H82" s="99"/>
      <c r="I82" s="39"/>
      <c r="J82" s="31"/>
      <c r="K82" s="31"/>
      <c r="L82" s="32"/>
      <c r="M82" s="32"/>
      <c r="N82" s="32"/>
      <c r="O82" s="35"/>
      <c r="P82" s="3"/>
    </row>
    <row r="83" spans="1:16" s="4" customFormat="1" x14ac:dyDescent="0.25">
      <c r="A83" s="34">
        <f>IF(I83&lt;&gt;"",1+MAX($A$40:A82),"")</f>
        <v>30</v>
      </c>
      <c r="B83" s="26"/>
      <c r="C83" s="26"/>
      <c r="D83" s="27"/>
      <c r="E83" s="102" t="s">
        <v>96</v>
      </c>
      <c r="F83" s="122">
        <v>20.125</v>
      </c>
      <c r="G83" s="36">
        <v>0.1</v>
      </c>
      <c r="H83" s="29">
        <f t="shared" ref="H83:H87" si="45">IF(F83=0,"",F83*(1+G83))</f>
        <v>22.137500000000003</v>
      </c>
      <c r="I83" s="39" t="s">
        <v>79</v>
      </c>
      <c r="J83" s="31">
        <f>2.03*16</f>
        <v>32.479999999999997</v>
      </c>
      <c r="K83" s="31">
        <v>36.799999999999997</v>
      </c>
      <c r="L83" s="32">
        <f t="shared" ref="L83:L87" si="46">IF(F83=0,"",J83*H83)</f>
        <v>719.02600000000007</v>
      </c>
      <c r="M83" s="32">
        <f t="shared" ref="M83:M87" si="47">IF(F83=0,"",K83*H83)</f>
        <v>814.66000000000008</v>
      </c>
      <c r="N83" s="32">
        <f t="shared" ref="N83:N87" si="48">IF(F83=0,"",L83+M83)</f>
        <v>1533.6860000000001</v>
      </c>
      <c r="O83" s="35"/>
      <c r="P83" s="3"/>
    </row>
    <row r="84" spans="1:16" s="4" customFormat="1" x14ac:dyDescent="0.25">
      <c r="A84" s="34">
        <f>IF(I84&lt;&gt;"",1+MAX($A$40:A83),"")</f>
        <v>31</v>
      </c>
      <c r="B84" s="26"/>
      <c r="C84" s="26"/>
      <c r="D84" s="27"/>
      <c r="E84" s="101" t="s">
        <v>97</v>
      </c>
      <c r="F84" s="122">
        <v>20.125</v>
      </c>
      <c r="G84" s="36">
        <v>0.1</v>
      </c>
      <c r="H84" s="29">
        <f t="shared" si="45"/>
        <v>22.137500000000003</v>
      </c>
      <c r="I84" s="39" t="s">
        <v>79</v>
      </c>
      <c r="J84" s="31">
        <f>2.03*16</f>
        <v>32.479999999999997</v>
      </c>
      <c r="K84" s="31">
        <v>36.799999999999997</v>
      </c>
      <c r="L84" s="32">
        <f t="shared" si="46"/>
        <v>719.02600000000007</v>
      </c>
      <c r="M84" s="32">
        <f t="shared" si="47"/>
        <v>814.66000000000008</v>
      </c>
      <c r="N84" s="32">
        <f t="shared" si="48"/>
        <v>1533.6860000000001</v>
      </c>
      <c r="O84" s="35"/>
      <c r="P84" s="3"/>
    </row>
    <row r="85" spans="1:16" s="4" customFormat="1" x14ac:dyDescent="0.25">
      <c r="A85" s="34">
        <f>IF(I85&lt;&gt;"",1+MAX($A$40:A84),"")</f>
        <v>32</v>
      </c>
      <c r="B85" s="26"/>
      <c r="C85" s="26"/>
      <c r="D85" s="27"/>
      <c r="E85" s="101" t="s">
        <v>98</v>
      </c>
      <c r="F85" s="122">
        <v>243.10526315789471</v>
      </c>
      <c r="G85" s="36">
        <v>0.1</v>
      </c>
      <c r="H85" s="29">
        <f t="shared" si="45"/>
        <v>267.41578947368419</v>
      </c>
      <c r="I85" s="39" t="s">
        <v>79</v>
      </c>
      <c r="J85" s="31">
        <f>1.34*30.66</f>
        <v>41.084400000000002</v>
      </c>
      <c r="K85" s="31">
        <f>1.39*30.66</f>
        <v>42.617399999999996</v>
      </c>
      <c r="L85" s="32">
        <f t="shared" si="46"/>
        <v>10986.617261052632</v>
      </c>
      <c r="M85" s="32">
        <f t="shared" si="47"/>
        <v>11396.565666315788</v>
      </c>
      <c r="N85" s="32">
        <f t="shared" si="48"/>
        <v>22383.18292736842</v>
      </c>
      <c r="O85" s="35"/>
      <c r="P85" s="3"/>
    </row>
    <row r="86" spans="1:16" s="4" customFormat="1" x14ac:dyDescent="0.25">
      <c r="A86" s="34">
        <f>IF(I86&lt;&gt;"",1+MAX($A$40:A85),"")</f>
        <v>33</v>
      </c>
      <c r="B86" s="26"/>
      <c r="C86" s="26"/>
      <c r="D86" s="27"/>
      <c r="E86" s="101" t="s">
        <v>99</v>
      </c>
      <c r="F86" s="122">
        <v>246.89349999999999</v>
      </c>
      <c r="G86" s="36">
        <v>0.1</v>
      </c>
      <c r="H86" s="29">
        <f t="shared" si="45"/>
        <v>271.58285000000001</v>
      </c>
      <c r="I86" s="39" t="s">
        <v>82</v>
      </c>
      <c r="J86" s="31">
        <f>0.89*40</f>
        <v>35.6</v>
      </c>
      <c r="K86" s="31">
        <f>1.86*40</f>
        <v>74.400000000000006</v>
      </c>
      <c r="L86" s="32">
        <f t="shared" si="46"/>
        <v>9668.3494600000013</v>
      </c>
      <c r="M86" s="32">
        <f t="shared" si="47"/>
        <v>20205.764040000002</v>
      </c>
      <c r="N86" s="32">
        <f t="shared" si="48"/>
        <v>29874.113500000003</v>
      </c>
      <c r="O86" s="35"/>
      <c r="P86" s="3"/>
    </row>
    <row r="87" spans="1:16" s="4" customFormat="1" x14ac:dyDescent="0.25">
      <c r="A87" s="34">
        <f>IF(I87&lt;&gt;"",1+MAX($A$40:A86),"")</f>
        <v>34</v>
      </c>
      <c r="B87" s="26"/>
      <c r="C87" s="26"/>
      <c r="D87" s="27"/>
      <c r="E87" s="101" t="s">
        <v>94</v>
      </c>
      <c r="F87" s="122">
        <v>644</v>
      </c>
      <c r="G87" s="36">
        <v>0.1</v>
      </c>
      <c r="H87" s="29">
        <f t="shared" si="45"/>
        <v>708.40000000000009</v>
      </c>
      <c r="I87" s="39" t="s">
        <v>80</v>
      </c>
      <c r="J87" s="31">
        <v>0.22</v>
      </c>
      <c r="K87" s="31">
        <v>0.74749999999999994</v>
      </c>
      <c r="L87" s="32">
        <f t="shared" si="46"/>
        <v>155.84800000000001</v>
      </c>
      <c r="M87" s="32">
        <f t="shared" si="47"/>
        <v>529.529</v>
      </c>
      <c r="N87" s="32">
        <f t="shared" si="48"/>
        <v>685.37699999999995</v>
      </c>
      <c r="O87" s="35"/>
      <c r="P87" s="3"/>
    </row>
    <row r="88" spans="1:16" s="4" customFormat="1" x14ac:dyDescent="0.25">
      <c r="A88" s="34" t="str">
        <f>IF(I88&lt;&gt;"",1+MAX($A$40:A87),"")</f>
        <v/>
      </c>
      <c r="B88" s="26"/>
      <c r="C88" s="26"/>
      <c r="D88" s="27"/>
      <c r="E88" s="100" t="s">
        <v>100</v>
      </c>
      <c r="F88" s="122"/>
      <c r="G88" s="99"/>
      <c r="H88" s="99"/>
      <c r="I88" s="39"/>
      <c r="J88" s="31"/>
      <c r="K88" s="31"/>
      <c r="L88" s="32"/>
      <c r="M88" s="32"/>
      <c r="N88" s="32"/>
      <c r="O88" s="35"/>
      <c r="P88" s="3"/>
    </row>
    <row r="89" spans="1:16" s="4" customFormat="1" x14ac:dyDescent="0.25">
      <c r="A89" s="34">
        <f>IF(I89&lt;&gt;"",1+MAX($A$40:A88),"")</f>
        <v>35</v>
      </c>
      <c r="B89" s="26"/>
      <c r="C89" s="26"/>
      <c r="D89" s="27"/>
      <c r="E89" s="101" t="s">
        <v>101</v>
      </c>
      <c r="F89" s="122">
        <v>2.21</v>
      </c>
      <c r="G89" s="36">
        <v>0.1</v>
      </c>
      <c r="H89" s="29">
        <f t="shared" ref="H89:H94" si="49">IF(F89=0,"",F89*(1+G89))</f>
        <v>2.431</v>
      </c>
      <c r="I89" s="39" t="s">
        <v>79</v>
      </c>
      <c r="J89" s="31">
        <f>2.03*16</f>
        <v>32.479999999999997</v>
      </c>
      <c r="K89" s="31">
        <v>36.799999999999997</v>
      </c>
      <c r="L89" s="32">
        <f t="shared" ref="L89:L94" si="50">IF(F89=0,"",J89*H89)</f>
        <v>78.958879999999994</v>
      </c>
      <c r="M89" s="32">
        <f t="shared" ref="M89:M94" si="51">IF(F89=0,"",K89*H89)</f>
        <v>89.460799999999992</v>
      </c>
      <c r="N89" s="32">
        <f t="shared" ref="N89:N94" si="52">IF(F89=0,"",L89+M89)</f>
        <v>168.41967999999997</v>
      </c>
      <c r="O89" s="35"/>
      <c r="P89" s="3"/>
    </row>
    <row r="90" spans="1:16" s="4" customFormat="1" x14ac:dyDescent="0.25">
      <c r="A90" s="34">
        <f>IF(I90&lt;&gt;"",1+MAX($A$40:A89),"")</f>
        <v>36</v>
      </c>
      <c r="B90" s="26"/>
      <c r="C90" s="26"/>
      <c r="D90" s="27"/>
      <c r="E90" s="101" t="s">
        <v>97</v>
      </c>
      <c r="F90" s="122">
        <v>2.21</v>
      </c>
      <c r="G90" s="36">
        <v>0.1</v>
      </c>
      <c r="H90" s="29">
        <f t="shared" si="49"/>
        <v>2.431</v>
      </c>
      <c r="I90" s="39" t="s">
        <v>79</v>
      </c>
      <c r="J90" s="31">
        <f>2.03*16</f>
        <v>32.479999999999997</v>
      </c>
      <c r="K90" s="31">
        <v>36.799999999999997</v>
      </c>
      <c r="L90" s="32">
        <f t="shared" si="50"/>
        <v>78.958879999999994</v>
      </c>
      <c r="M90" s="32">
        <f t="shared" si="51"/>
        <v>89.460799999999992</v>
      </c>
      <c r="N90" s="32">
        <f t="shared" si="52"/>
        <v>168.41967999999997</v>
      </c>
      <c r="O90" s="35"/>
      <c r="P90" s="3"/>
    </row>
    <row r="91" spans="1:16" s="4" customFormat="1" x14ac:dyDescent="0.25">
      <c r="A91" s="34">
        <f>IF(I91&lt;&gt;"",1+MAX($A$40:A90),"")</f>
        <v>37</v>
      </c>
      <c r="B91" s="26"/>
      <c r="C91" s="26"/>
      <c r="D91" s="27"/>
      <c r="E91" s="101" t="s">
        <v>98</v>
      </c>
      <c r="F91" s="122">
        <v>27.586466165413533</v>
      </c>
      <c r="G91" s="36">
        <v>0.1</v>
      </c>
      <c r="H91" s="29">
        <f t="shared" si="49"/>
        <v>30.345112781954889</v>
      </c>
      <c r="I91" s="39" t="s">
        <v>79</v>
      </c>
      <c r="J91" s="31">
        <f>1.34*30.66</f>
        <v>41.084400000000002</v>
      </c>
      <c r="K91" s="31">
        <f>1.39*30.66</f>
        <v>42.617399999999996</v>
      </c>
      <c r="L91" s="32">
        <f t="shared" si="50"/>
        <v>1246.7107515789476</v>
      </c>
      <c r="M91" s="32">
        <f t="shared" si="51"/>
        <v>1293.2298094736841</v>
      </c>
      <c r="N91" s="32">
        <f t="shared" si="52"/>
        <v>2539.9405610526319</v>
      </c>
      <c r="O91" s="35"/>
      <c r="P91" s="3"/>
    </row>
    <row r="92" spans="1:16" s="4" customFormat="1" x14ac:dyDescent="0.25">
      <c r="A92" s="34">
        <f>IF(I92&lt;&gt;"",1+MAX($A$40:A91),"")</f>
        <v>38</v>
      </c>
      <c r="B92" s="26"/>
      <c r="C92" s="26"/>
      <c r="D92" s="27"/>
      <c r="E92" s="101" t="s">
        <v>102</v>
      </c>
      <c r="F92" s="122">
        <v>376.63962247191017</v>
      </c>
      <c r="G92" s="36">
        <v>0.1</v>
      </c>
      <c r="H92" s="29">
        <f t="shared" si="49"/>
        <v>414.3035847191012</v>
      </c>
      <c r="I92" s="39" t="s">
        <v>79</v>
      </c>
      <c r="J92" s="31">
        <f>4.95*30</f>
        <v>148.5</v>
      </c>
      <c r="K92" s="31">
        <f>2.28*30</f>
        <v>68.399999999999991</v>
      </c>
      <c r="L92" s="32">
        <f t="shared" si="50"/>
        <v>61524.082330786528</v>
      </c>
      <c r="M92" s="32">
        <f t="shared" si="51"/>
        <v>28338.365194786518</v>
      </c>
      <c r="N92" s="32">
        <f t="shared" si="52"/>
        <v>89862.44752557305</v>
      </c>
      <c r="O92" s="35"/>
      <c r="P92" s="3"/>
    </row>
    <row r="93" spans="1:16" s="4" customFormat="1" x14ac:dyDescent="0.25">
      <c r="A93" s="34">
        <f>IF(I93&lt;&gt;"",1+MAX($A$40:A92),"")</f>
        <v>39</v>
      </c>
      <c r="B93" s="26"/>
      <c r="C93" s="26"/>
      <c r="D93" s="27"/>
      <c r="E93" s="101" t="s">
        <v>103</v>
      </c>
      <c r="F93" s="122">
        <v>18.564</v>
      </c>
      <c r="G93" s="36">
        <v>0.1</v>
      </c>
      <c r="H93" s="29">
        <f t="shared" si="49"/>
        <v>20.420400000000001</v>
      </c>
      <c r="I93" s="39" t="s">
        <v>82</v>
      </c>
      <c r="J93" s="31">
        <f>0.89*40</f>
        <v>35.6</v>
      </c>
      <c r="K93" s="31">
        <f>1.86*40</f>
        <v>74.400000000000006</v>
      </c>
      <c r="L93" s="32">
        <f t="shared" si="50"/>
        <v>726.96624000000008</v>
      </c>
      <c r="M93" s="32">
        <f t="shared" si="51"/>
        <v>1519.2777600000002</v>
      </c>
      <c r="N93" s="32">
        <f t="shared" si="52"/>
        <v>2246.2440000000001</v>
      </c>
      <c r="O93" s="35"/>
      <c r="P93" s="3"/>
    </row>
    <row r="94" spans="1:16" s="4" customFormat="1" x14ac:dyDescent="0.25">
      <c r="A94" s="34">
        <f>IF(I94&lt;&gt;"",1+MAX($A$40:A93),"")</f>
        <v>40</v>
      </c>
      <c r="B94" s="26"/>
      <c r="C94" s="26"/>
      <c r="D94" s="27"/>
      <c r="E94" s="101" t="s">
        <v>94</v>
      </c>
      <c r="F94" s="122">
        <v>141.44</v>
      </c>
      <c r="G94" s="36">
        <v>0.1</v>
      </c>
      <c r="H94" s="29">
        <f t="shared" si="49"/>
        <v>155.584</v>
      </c>
      <c r="I94" s="39" t="s">
        <v>80</v>
      </c>
      <c r="J94" s="31">
        <v>0.22</v>
      </c>
      <c r="K94" s="31">
        <v>0.74749999999999994</v>
      </c>
      <c r="L94" s="32">
        <f t="shared" si="50"/>
        <v>34.228479999999998</v>
      </c>
      <c r="M94" s="32">
        <f t="shared" si="51"/>
        <v>116.29903999999999</v>
      </c>
      <c r="N94" s="32">
        <f t="shared" si="52"/>
        <v>150.52751999999998</v>
      </c>
      <c r="O94" s="35"/>
      <c r="P94" s="3"/>
    </row>
    <row r="95" spans="1:16" s="4" customFormat="1" x14ac:dyDescent="0.25">
      <c r="A95" s="34" t="str">
        <f>IF(I95&lt;&gt;"",1+MAX($A$40:A94),"")</f>
        <v/>
      </c>
      <c r="B95" s="26"/>
      <c r="C95" s="26"/>
      <c r="D95" s="27"/>
      <c r="E95" s="100" t="s">
        <v>104</v>
      </c>
      <c r="F95" s="122"/>
      <c r="G95" s="99"/>
      <c r="H95" s="99"/>
      <c r="I95" s="39"/>
      <c r="J95" s="31"/>
      <c r="K95" s="31"/>
      <c r="L95" s="32"/>
      <c r="M95" s="32"/>
      <c r="N95" s="32"/>
      <c r="O95" s="35"/>
      <c r="P95" s="3"/>
    </row>
    <row r="96" spans="1:16" s="4" customFormat="1" x14ac:dyDescent="0.25">
      <c r="A96" s="34">
        <f>IF(I96&lt;&gt;"",1+MAX($A$40:A95),"")</f>
        <v>41</v>
      </c>
      <c r="B96" s="26"/>
      <c r="C96" s="26"/>
      <c r="D96" s="27"/>
      <c r="E96" s="101" t="s">
        <v>101</v>
      </c>
      <c r="F96" s="122">
        <v>1.318125</v>
      </c>
      <c r="G96" s="36">
        <v>0.1</v>
      </c>
      <c r="H96" s="29">
        <f t="shared" ref="H96:H101" si="53">IF(F96=0,"",F96*(1+G96))</f>
        <v>1.4499375000000001</v>
      </c>
      <c r="I96" s="39" t="s">
        <v>79</v>
      </c>
      <c r="J96" s="31">
        <f>2.03*16</f>
        <v>32.479999999999997</v>
      </c>
      <c r="K96" s="31">
        <v>36.799999999999997</v>
      </c>
      <c r="L96" s="32">
        <f t="shared" ref="L96:L101" si="54">IF(F96=0,"",J96*H96)</f>
        <v>47.093969999999999</v>
      </c>
      <c r="M96" s="32">
        <f t="shared" ref="M96:M101" si="55">IF(F96=0,"",K96*H96)</f>
        <v>53.357700000000001</v>
      </c>
      <c r="N96" s="32">
        <f t="shared" ref="N96:N101" si="56">IF(F96=0,"",L96+M96)</f>
        <v>100.45167000000001</v>
      </c>
      <c r="O96" s="35"/>
      <c r="P96" s="3"/>
    </row>
    <row r="97" spans="1:16" s="4" customFormat="1" x14ac:dyDescent="0.25">
      <c r="A97" s="34">
        <f>IF(I97&lt;&gt;"",1+MAX($A$40:A96),"")</f>
        <v>42</v>
      </c>
      <c r="B97" s="26"/>
      <c r="C97" s="26"/>
      <c r="D97" s="27"/>
      <c r="E97" s="101" t="s">
        <v>97</v>
      </c>
      <c r="F97" s="122">
        <v>1.318125</v>
      </c>
      <c r="G97" s="36">
        <v>0.1</v>
      </c>
      <c r="H97" s="29">
        <f t="shared" si="53"/>
        <v>1.4499375000000001</v>
      </c>
      <c r="I97" s="39" t="s">
        <v>79</v>
      </c>
      <c r="J97" s="31">
        <f>2.03*16</f>
        <v>32.479999999999997</v>
      </c>
      <c r="K97" s="31">
        <v>36.799999999999997</v>
      </c>
      <c r="L97" s="32">
        <f t="shared" si="54"/>
        <v>47.093969999999999</v>
      </c>
      <c r="M97" s="32">
        <f t="shared" si="55"/>
        <v>53.357700000000001</v>
      </c>
      <c r="N97" s="32">
        <f t="shared" si="56"/>
        <v>100.45167000000001</v>
      </c>
      <c r="O97" s="35"/>
      <c r="P97" s="3"/>
    </row>
    <row r="98" spans="1:16" s="4" customFormat="1" x14ac:dyDescent="0.25">
      <c r="A98" s="34">
        <f>IF(I98&lt;&gt;"",1+MAX($A$40:A97),"")</f>
        <v>43</v>
      </c>
      <c r="B98" s="26"/>
      <c r="C98" s="26"/>
      <c r="D98" s="27"/>
      <c r="E98" s="101" t="s">
        <v>105</v>
      </c>
      <c r="F98" s="122">
        <v>16.857142857142854</v>
      </c>
      <c r="G98" s="36">
        <v>0.1</v>
      </c>
      <c r="H98" s="29">
        <f t="shared" si="53"/>
        <v>18.542857142857141</v>
      </c>
      <c r="I98" s="39" t="s">
        <v>79</v>
      </c>
      <c r="J98" s="31">
        <f>1.34*14</f>
        <v>18.760000000000002</v>
      </c>
      <c r="K98" s="31">
        <f>1.39*14</f>
        <v>19.459999999999997</v>
      </c>
      <c r="L98" s="32">
        <f t="shared" si="54"/>
        <v>347.86399999999998</v>
      </c>
      <c r="M98" s="32">
        <f t="shared" si="55"/>
        <v>360.84399999999994</v>
      </c>
      <c r="N98" s="32">
        <f t="shared" si="56"/>
        <v>708.70799999999986</v>
      </c>
      <c r="O98" s="35"/>
      <c r="P98" s="3"/>
    </row>
    <row r="99" spans="1:16" s="4" customFormat="1" x14ac:dyDescent="0.25">
      <c r="A99" s="34">
        <f>IF(I99&lt;&gt;"",1+MAX($A$40:A98),"")</f>
        <v>44</v>
      </c>
      <c r="B99" s="26"/>
      <c r="C99" s="26"/>
      <c r="D99" s="27"/>
      <c r="E99" s="101" t="s">
        <v>106</v>
      </c>
      <c r="F99" s="122">
        <v>38.980955056179774</v>
      </c>
      <c r="G99" s="36">
        <v>0.1</v>
      </c>
      <c r="H99" s="29">
        <f t="shared" si="53"/>
        <v>42.879050561797754</v>
      </c>
      <c r="I99" s="39" t="s">
        <v>79</v>
      </c>
      <c r="J99" s="31">
        <f>4.95*4.83</f>
        <v>23.9085</v>
      </c>
      <c r="K99" s="31">
        <f>2.28*4.83</f>
        <v>11.0124</v>
      </c>
      <c r="L99" s="32">
        <f t="shared" si="54"/>
        <v>1025.1737803567416</v>
      </c>
      <c r="M99" s="32">
        <f t="shared" si="55"/>
        <v>472.20125640674155</v>
      </c>
      <c r="N99" s="32">
        <f t="shared" si="56"/>
        <v>1497.3750367634832</v>
      </c>
      <c r="O99" s="35"/>
      <c r="P99" s="3"/>
    </row>
    <row r="100" spans="1:16" s="4" customFormat="1" x14ac:dyDescent="0.25">
      <c r="A100" s="34">
        <f>IF(I100&lt;&gt;"",1+MAX($A$40:A99),"")</f>
        <v>45</v>
      </c>
      <c r="B100" s="26"/>
      <c r="C100" s="26"/>
      <c r="D100" s="27"/>
      <c r="E100" s="101" t="s">
        <v>107</v>
      </c>
      <c r="F100" s="122">
        <v>10.764687499999999</v>
      </c>
      <c r="G100" s="36">
        <v>0.1</v>
      </c>
      <c r="H100" s="29">
        <f t="shared" si="53"/>
        <v>11.841156249999999</v>
      </c>
      <c r="I100" s="39" t="s">
        <v>82</v>
      </c>
      <c r="J100" s="31">
        <f>0.89*48</f>
        <v>42.72</v>
      </c>
      <c r="K100" s="31">
        <f>1.86*48</f>
        <v>89.28</v>
      </c>
      <c r="L100" s="32">
        <f t="shared" si="54"/>
        <v>505.85419499999995</v>
      </c>
      <c r="M100" s="32">
        <f t="shared" si="55"/>
        <v>1057.1784299999999</v>
      </c>
      <c r="N100" s="32">
        <f t="shared" si="56"/>
        <v>1563.0326249999998</v>
      </c>
      <c r="O100" s="35"/>
      <c r="P100" s="3"/>
    </row>
    <row r="101" spans="1:16" s="4" customFormat="1" x14ac:dyDescent="0.25">
      <c r="A101" s="34">
        <f>IF(I101&lt;&gt;"",1+MAX($A$40:A100),"")</f>
        <v>46</v>
      </c>
      <c r="B101" s="26"/>
      <c r="C101" s="26"/>
      <c r="D101" s="27"/>
      <c r="E101" s="101" t="s">
        <v>94</v>
      </c>
      <c r="F101" s="122">
        <v>84.36</v>
      </c>
      <c r="G101" s="36">
        <v>0.1</v>
      </c>
      <c r="H101" s="29">
        <f t="shared" si="53"/>
        <v>92.796000000000006</v>
      </c>
      <c r="I101" s="39" t="s">
        <v>80</v>
      </c>
      <c r="J101" s="31">
        <v>0.22</v>
      </c>
      <c r="K101" s="31">
        <v>0.74749999999999994</v>
      </c>
      <c r="L101" s="32">
        <f t="shared" si="54"/>
        <v>20.415120000000002</v>
      </c>
      <c r="M101" s="32">
        <f t="shared" si="55"/>
        <v>69.365009999999998</v>
      </c>
      <c r="N101" s="32">
        <f t="shared" si="56"/>
        <v>89.78013</v>
      </c>
      <c r="O101" s="35"/>
      <c r="P101" s="3"/>
    </row>
    <row r="102" spans="1:16" s="4" customFormat="1" x14ac:dyDescent="0.25">
      <c r="A102" s="34" t="str">
        <f>IF(I102&lt;&gt;"",1+MAX($A$40:A101),"")</f>
        <v/>
      </c>
      <c r="B102" s="26"/>
      <c r="C102" s="26"/>
      <c r="D102" s="27"/>
      <c r="E102" s="100" t="s">
        <v>108</v>
      </c>
      <c r="F102" s="122"/>
      <c r="G102" s="99"/>
      <c r="H102" s="99"/>
      <c r="I102" s="39"/>
      <c r="J102" s="31"/>
      <c r="K102" s="31"/>
      <c r="L102" s="32"/>
      <c r="M102" s="32"/>
      <c r="N102" s="32"/>
      <c r="O102" s="35"/>
      <c r="P102" s="3"/>
    </row>
    <row r="103" spans="1:16" s="4" customFormat="1" x14ac:dyDescent="0.25">
      <c r="A103" s="34">
        <f>IF(I103&lt;&gt;"",1+MAX($A$40:A102),"")</f>
        <v>47</v>
      </c>
      <c r="B103" s="26"/>
      <c r="C103" s="26"/>
      <c r="D103" s="27"/>
      <c r="E103" s="101" t="s">
        <v>101</v>
      </c>
      <c r="F103" s="122">
        <v>1.2268749999999999</v>
      </c>
      <c r="G103" s="36">
        <v>0.1</v>
      </c>
      <c r="H103" s="29">
        <f t="shared" ref="H103:H108" si="57">IF(F103=0,"",F103*(1+G103))</f>
        <v>1.3495625</v>
      </c>
      <c r="I103" s="39" t="s">
        <v>79</v>
      </c>
      <c r="J103" s="31">
        <f>2.03*16</f>
        <v>32.479999999999997</v>
      </c>
      <c r="K103" s="31">
        <v>36.799999999999997</v>
      </c>
      <c r="L103" s="32">
        <f t="shared" ref="L103:L108" si="58">IF(F103=0,"",J103*H103)</f>
        <v>43.833789999999993</v>
      </c>
      <c r="M103" s="32">
        <f t="shared" ref="M103:M108" si="59">IF(F103=0,"",K103*H103)</f>
        <v>49.663899999999998</v>
      </c>
      <c r="N103" s="32">
        <f t="shared" ref="N103:N108" si="60">IF(F103=0,"",L103+M103)</f>
        <v>93.497689999999992</v>
      </c>
      <c r="O103" s="35"/>
      <c r="P103" s="3"/>
    </row>
    <row r="104" spans="1:16" s="4" customFormat="1" x14ac:dyDescent="0.25">
      <c r="A104" s="34">
        <f>IF(I104&lt;&gt;"",1+MAX($A$40:A103),"")</f>
        <v>48</v>
      </c>
      <c r="B104" s="26"/>
      <c r="C104" s="26"/>
      <c r="D104" s="27"/>
      <c r="E104" s="101" t="s">
        <v>97</v>
      </c>
      <c r="F104" s="122">
        <v>1.2268749999999999</v>
      </c>
      <c r="G104" s="36">
        <v>0.1</v>
      </c>
      <c r="H104" s="29">
        <f t="shared" si="57"/>
        <v>1.3495625</v>
      </c>
      <c r="I104" s="39" t="s">
        <v>79</v>
      </c>
      <c r="J104" s="31">
        <f>2.03*16</f>
        <v>32.479999999999997</v>
      </c>
      <c r="K104" s="31">
        <v>36.799999999999997</v>
      </c>
      <c r="L104" s="32">
        <f t="shared" si="58"/>
        <v>43.833789999999993</v>
      </c>
      <c r="M104" s="32">
        <f t="shared" si="59"/>
        <v>49.663899999999998</v>
      </c>
      <c r="N104" s="32">
        <f t="shared" si="60"/>
        <v>93.497689999999992</v>
      </c>
      <c r="O104" s="35"/>
      <c r="P104" s="3"/>
    </row>
    <row r="105" spans="1:16" s="4" customFormat="1" x14ac:dyDescent="0.25">
      <c r="A105" s="34">
        <f>IF(I105&lt;&gt;"",1+MAX($A$40:A104),"")</f>
        <v>49</v>
      </c>
      <c r="B105" s="26"/>
      <c r="C105" s="26"/>
      <c r="D105" s="27"/>
      <c r="E105" s="101" t="s">
        <v>105</v>
      </c>
      <c r="F105" s="122">
        <v>15.7593984962406</v>
      </c>
      <c r="G105" s="36">
        <v>0.1</v>
      </c>
      <c r="H105" s="29">
        <f t="shared" si="57"/>
        <v>17.33533834586466</v>
      </c>
      <c r="I105" s="39" t="s">
        <v>79</v>
      </c>
      <c r="J105" s="31">
        <f>1.34*14</f>
        <v>18.760000000000002</v>
      </c>
      <c r="K105" s="31">
        <f>1.39*14</f>
        <v>19.459999999999997</v>
      </c>
      <c r="L105" s="32">
        <f t="shared" si="58"/>
        <v>325.21094736842105</v>
      </c>
      <c r="M105" s="32">
        <f t="shared" si="59"/>
        <v>337.34568421052626</v>
      </c>
      <c r="N105" s="32">
        <f t="shared" si="60"/>
        <v>662.5566315789473</v>
      </c>
      <c r="O105" s="35"/>
      <c r="P105" s="3"/>
    </row>
    <row r="106" spans="1:16" s="4" customFormat="1" x14ac:dyDescent="0.25">
      <c r="A106" s="34">
        <f>IF(I106&lt;&gt;"",1+MAX($A$40:A105),"")</f>
        <v>50</v>
      </c>
      <c r="B106" s="26"/>
      <c r="C106" s="26"/>
      <c r="D106" s="27"/>
      <c r="E106" s="101" t="s">
        <v>106</v>
      </c>
      <c r="F106" s="122">
        <v>36.282415730337071</v>
      </c>
      <c r="G106" s="36">
        <v>0.1</v>
      </c>
      <c r="H106" s="29">
        <f t="shared" si="57"/>
        <v>39.910657303370783</v>
      </c>
      <c r="I106" s="39" t="s">
        <v>79</v>
      </c>
      <c r="J106" s="31">
        <f>4.95*4.83</f>
        <v>23.9085</v>
      </c>
      <c r="K106" s="31">
        <f>2.28*4.83</f>
        <v>11.0124</v>
      </c>
      <c r="L106" s="32">
        <f t="shared" si="58"/>
        <v>954.20395013764039</v>
      </c>
      <c r="M106" s="32">
        <f t="shared" si="59"/>
        <v>439.5121224876404</v>
      </c>
      <c r="N106" s="32">
        <f t="shared" si="60"/>
        <v>1393.7160726252807</v>
      </c>
      <c r="O106" s="35"/>
      <c r="P106" s="3"/>
    </row>
    <row r="107" spans="1:16" s="4" customFormat="1" x14ac:dyDescent="0.25">
      <c r="A107" s="34">
        <f>IF(I107&lt;&gt;"",1+MAX($A$40:A106),"")</f>
        <v>51</v>
      </c>
      <c r="B107" s="26"/>
      <c r="C107" s="26"/>
      <c r="D107" s="27"/>
      <c r="E107" s="101" t="s">
        <v>109</v>
      </c>
      <c r="F107" s="122">
        <v>4.2940624999999999</v>
      </c>
      <c r="G107" s="36">
        <v>0.1</v>
      </c>
      <c r="H107" s="29">
        <f t="shared" si="57"/>
        <v>4.7234687500000003</v>
      </c>
      <c r="I107" s="39" t="s">
        <v>82</v>
      </c>
      <c r="J107" s="31">
        <f>0.89*48</f>
        <v>42.72</v>
      </c>
      <c r="K107" s="31">
        <f>1.86*48</f>
        <v>89.28</v>
      </c>
      <c r="L107" s="32">
        <f t="shared" si="58"/>
        <v>201.786585</v>
      </c>
      <c r="M107" s="32">
        <f t="shared" si="59"/>
        <v>421.71129000000002</v>
      </c>
      <c r="N107" s="32">
        <f t="shared" si="60"/>
        <v>623.49787500000002</v>
      </c>
      <c r="O107" s="35"/>
      <c r="P107" s="3"/>
    </row>
    <row r="108" spans="1:16" s="4" customFormat="1" x14ac:dyDescent="0.25">
      <c r="A108" s="34">
        <f>IF(I108&lt;&gt;"",1+MAX($A$40:A107),"")</f>
        <v>52</v>
      </c>
      <c r="B108" s="26"/>
      <c r="C108" s="26"/>
      <c r="D108" s="27"/>
      <c r="E108" s="101" t="s">
        <v>94</v>
      </c>
      <c r="F108" s="122">
        <v>78.52</v>
      </c>
      <c r="G108" s="36">
        <v>0.1</v>
      </c>
      <c r="H108" s="29">
        <f t="shared" si="57"/>
        <v>86.372</v>
      </c>
      <c r="I108" s="39" t="s">
        <v>80</v>
      </c>
      <c r="J108" s="31">
        <v>0.22</v>
      </c>
      <c r="K108" s="31">
        <v>0.74749999999999994</v>
      </c>
      <c r="L108" s="32">
        <f t="shared" si="58"/>
        <v>19.001840000000001</v>
      </c>
      <c r="M108" s="32">
        <f t="shared" si="59"/>
        <v>64.563069999999996</v>
      </c>
      <c r="N108" s="32">
        <f t="shared" si="60"/>
        <v>83.564909999999998</v>
      </c>
      <c r="O108" s="35"/>
      <c r="P108" s="3"/>
    </row>
    <row r="109" spans="1:16" s="4" customFormat="1" x14ac:dyDescent="0.25">
      <c r="A109" s="34" t="str">
        <f>IF(I109&lt;&gt;"",1+MAX($A$40:A108),"")</f>
        <v/>
      </c>
      <c r="B109" s="26"/>
      <c r="C109" s="26"/>
      <c r="D109" s="27"/>
      <c r="E109" s="100" t="s">
        <v>110</v>
      </c>
      <c r="F109" s="122"/>
      <c r="G109" s="99"/>
      <c r="H109" s="99"/>
      <c r="I109" s="39"/>
      <c r="J109" s="31"/>
      <c r="K109" s="31"/>
      <c r="L109" s="32"/>
      <c r="M109" s="32"/>
      <c r="N109" s="32"/>
      <c r="O109" s="35"/>
      <c r="P109" s="3"/>
    </row>
    <row r="110" spans="1:16" s="4" customFormat="1" x14ac:dyDescent="0.25">
      <c r="A110" s="34">
        <f>IF(I110&lt;&gt;"",1+MAX($A$40:A109),"")</f>
        <v>53</v>
      </c>
      <c r="B110" s="26"/>
      <c r="C110" s="26"/>
      <c r="D110" s="27"/>
      <c r="E110" s="101" t="s">
        <v>101</v>
      </c>
      <c r="F110" s="122">
        <v>8.7906250000000004</v>
      </c>
      <c r="G110" s="36">
        <v>0.1</v>
      </c>
      <c r="H110" s="29">
        <f t="shared" ref="H110:H116" si="61">IF(F110=0,"",F110*(1+G110))</f>
        <v>9.669687500000002</v>
      </c>
      <c r="I110" s="39" t="s">
        <v>79</v>
      </c>
      <c r="J110" s="31">
        <f>2.03*16</f>
        <v>32.479999999999997</v>
      </c>
      <c r="K110" s="31">
        <v>36.799999999999997</v>
      </c>
      <c r="L110" s="32">
        <f t="shared" ref="L110:L116" si="62">IF(F110=0,"",J110*H110)</f>
        <v>314.07145000000003</v>
      </c>
      <c r="M110" s="32">
        <f t="shared" ref="M110:M116" si="63">IF(F110=0,"",K110*H110)</f>
        <v>355.84450000000004</v>
      </c>
      <c r="N110" s="32">
        <f t="shared" ref="N110:N116" si="64">IF(F110=0,"",L110+M110)</f>
        <v>669.91595000000007</v>
      </c>
      <c r="O110" s="35"/>
      <c r="P110" s="3"/>
    </row>
    <row r="111" spans="1:16" s="4" customFormat="1" x14ac:dyDescent="0.25">
      <c r="A111" s="34">
        <f>IF(I111&lt;&gt;"",1+MAX($A$40:A110),"")</f>
        <v>54</v>
      </c>
      <c r="B111" s="26"/>
      <c r="C111" s="26"/>
      <c r="D111" s="27"/>
      <c r="E111" s="101" t="s">
        <v>97</v>
      </c>
      <c r="F111" s="122">
        <v>8.7906250000000004</v>
      </c>
      <c r="G111" s="36">
        <v>0.1</v>
      </c>
      <c r="H111" s="29">
        <f t="shared" si="61"/>
        <v>9.669687500000002</v>
      </c>
      <c r="I111" s="39" t="s">
        <v>79</v>
      </c>
      <c r="J111" s="31">
        <f>2.03*16</f>
        <v>32.479999999999997</v>
      </c>
      <c r="K111" s="31">
        <v>36.799999999999997</v>
      </c>
      <c r="L111" s="32">
        <f t="shared" si="62"/>
        <v>314.07145000000003</v>
      </c>
      <c r="M111" s="32">
        <f t="shared" si="63"/>
        <v>355.84450000000004</v>
      </c>
      <c r="N111" s="32">
        <f t="shared" si="64"/>
        <v>669.91595000000007</v>
      </c>
      <c r="O111" s="35"/>
      <c r="P111" s="3"/>
    </row>
    <row r="112" spans="1:16" s="4" customFormat="1" x14ac:dyDescent="0.25">
      <c r="A112" s="34">
        <f>IF(I112&lt;&gt;"",1+MAX($A$40:A111),"")</f>
        <v>55</v>
      </c>
      <c r="B112" s="26"/>
      <c r="C112" s="26"/>
      <c r="D112" s="27"/>
      <c r="E112" s="101" t="s">
        <v>105</v>
      </c>
      <c r="F112" s="122">
        <v>106.75187969924812</v>
      </c>
      <c r="G112" s="36">
        <v>0.1</v>
      </c>
      <c r="H112" s="29">
        <f t="shared" si="61"/>
        <v>117.42706766917294</v>
      </c>
      <c r="I112" s="39" t="s">
        <v>79</v>
      </c>
      <c r="J112" s="31">
        <f>1.34*14</f>
        <v>18.760000000000002</v>
      </c>
      <c r="K112" s="31">
        <f>1.39*14</f>
        <v>19.459999999999997</v>
      </c>
      <c r="L112" s="32">
        <f t="shared" si="62"/>
        <v>2202.9317894736846</v>
      </c>
      <c r="M112" s="32">
        <f t="shared" si="63"/>
        <v>2285.1307368421053</v>
      </c>
      <c r="N112" s="32">
        <f t="shared" si="64"/>
        <v>4488.0625263157899</v>
      </c>
      <c r="O112" s="35"/>
      <c r="P112" s="3"/>
    </row>
    <row r="113" spans="1:16" s="4" customFormat="1" x14ac:dyDescent="0.25">
      <c r="A113" s="34">
        <f>IF(I113&lt;&gt;"",1+MAX($A$40:A112),"")</f>
        <v>56</v>
      </c>
      <c r="B113" s="26"/>
      <c r="C113" s="26"/>
      <c r="D113" s="27"/>
      <c r="E113" s="101" t="s">
        <v>111</v>
      </c>
      <c r="F113" s="122">
        <v>106.75187969924812</v>
      </c>
      <c r="G113" s="36">
        <v>0.1</v>
      </c>
      <c r="H113" s="29">
        <f t="shared" si="61"/>
        <v>117.42706766917294</v>
      </c>
      <c r="I113" s="39" t="s">
        <v>79</v>
      </c>
      <c r="J113" s="31">
        <f>1.34*16.66</f>
        <v>22.324400000000001</v>
      </c>
      <c r="K113" s="31">
        <f>1.39*16.66</f>
        <v>23.157399999999999</v>
      </c>
      <c r="L113" s="32">
        <f t="shared" si="62"/>
        <v>2621.4888294736843</v>
      </c>
      <c r="M113" s="32">
        <f t="shared" si="63"/>
        <v>2719.3055768421054</v>
      </c>
      <c r="N113" s="32">
        <f t="shared" si="64"/>
        <v>5340.7944063157902</v>
      </c>
      <c r="O113" s="35"/>
      <c r="P113" s="3"/>
    </row>
    <row r="114" spans="1:16" s="4" customFormat="1" x14ac:dyDescent="0.25">
      <c r="A114" s="34">
        <f>IF(I114&lt;&gt;"",1+MAX($A$40:A113),"")</f>
        <v>57</v>
      </c>
      <c r="B114" s="26"/>
      <c r="C114" s="26"/>
      <c r="D114" s="27"/>
      <c r="E114" s="101" t="s">
        <v>106</v>
      </c>
      <c r="F114" s="122">
        <v>259.96544943820226</v>
      </c>
      <c r="G114" s="36">
        <v>0.1</v>
      </c>
      <c r="H114" s="29">
        <f t="shared" si="61"/>
        <v>285.96199438202251</v>
      </c>
      <c r="I114" s="39" t="s">
        <v>79</v>
      </c>
      <c r="J114" s="31">
        <f>4.95*4.83</f>
        <v>23.9085</v>
      </c>
      <c r="K114" s="31">
        <f>2.28*4.83</f>
        <v>11.0124</v>
      </c>
      <c r="L114" s="32">
        <f t="shared" si="62"/>
        <v>6836.9223426825856</v>
      </c>
      <c r="M114" s="32">
        <f t="shared" si="63"/>
        <v>3149.1278669325848</v>
      </c>
      <c r="N114" s="32">
        <f t="shared" si="64"/>
        <v>9986.0502096151704</v>
      </c>
      <c r="O114" s="35"/>
      <c r="P114" s="3"/>
    </row>
    <row r="115" spans="1:16" s="4" customFormat="1" x14ac:dyDescent="0.25">
      <c r="A115" s="34">
        <f>IF(I115&lt;&gt;"",1+MAX($A$40:A114),"")</f>
        <v>58</v>
      </c>
      <c r="B115" s="26"/>
      <c r="C115" s="26"/>
      <c r="D115" s="27"/>
      <c r="E115" s="101" t="s">
        <v>112</v>
      </c>
      <c r="F115" s="122">
        <v>130.89240625000002</v>
      </c>
      <c r="G115" s="36">
        <v>0.1</v>
      </c>
      <c r="H115" s="29">
        <f t="shared" si="61"/>
        <v>143.98164687500002</v>
      </c>
      <c r="I115" s="39" t="s">
        <v>82</v>
      </c>
      <c r="J115" s="31">
        <f>0.89*48</f>
        <v>42.72</v>
      </c>
      <c r="K115" s="31">
        <f>1.86*48</f>
        <v>89.28</v>
      </c>
      <c r="L115" s="32">
        <f t="shared" si="62"/>
        <v>6150.8959545000007</v>
      </c>
      <c r="M115" s="32">
        <f t="shared" si="63"/>
        <v>12854.681433000002</v>
      </c>
      <c r="N115" s="32">
        <f t="shared" si="64"/>
        <v>19005.577387500001</v>
      </c>
      <c r="O115" s="35"/>
      <c r="P115" s="3"/>
    </row>
    <row r="116" spans="1:16" s="4" customFormat="1" x14ac:dyDescent="0.25">
      <c r="A116" s="34">
        <f>IF(I116&lt;&gt;"",1+MAX($A$40:A115),"")</f>
        <v>59</v>
      </c>
      <c r="B116" s="26"/>
      <c r="C116" s="26"/>
      <c r="D116" s="27"/>
      <c r="E116" s="101" t="s">
        <v>94</v>
      </c>
      <c r="F116" s="122">
        <v>562.6</v>
      </c>
      <c r="G116" s="36">
        <v>0.1</v>
      </c>
      <c r="H116" s="29">
        <f t="shared" si="61"/>
        <v>618.86000000000013</v>
      </c>
      <c r="I116" s="39" t="s">
        <v>80</v>
      </c>
      <c r="J116" s="31">
        <v>0.22</v>
      </c>
      <c r="K116" s="31">
        <v>0.74749999999999994</v>
      </c>
      <c r="L116" s="32">
        <f t="shared" si="62"/>
        <v>136.14920000000004</v>
      </c>
      <c r="M116" s="32">
        <f t="shared" si="63"/>
        <v>462.59785000000005</v>
      </c>
      <c r="N116" s="32">
        <f t="shared" si="64"/>
        <v>598.74705000000006</v>
      </c>
      <c r="O116" s="35"/>
      <c r="P116" s="3"/>
    </row>
    <row r="117" spans="1:16" s="4" customFormat="1" x14ac:dyDescent="0.25">
      <c r="A117" s="34" t="str">
        <f>IF(I117&lt;&gt;"",1+MAX($A$40:A116),"")</f>
        <v/>
      </c>
      <c r="B117" s="26"/>
      <c r="C117" s="26"/>
      <c r="D117" s="27"/>
      <c r="E117" s="100" t="s">
        <v>113</v>
      </c>
      <c r="F117" s="122"/>
      <c r="G117" s="99"/>
      <c r="H117" s="99"/>
      <c r="I117" s="39"/>
      <c r="J117" s="31"/>
      <c r="K117" s="31"/>
      <c r="L117" s="32"/>
      <c r="M117" s="32"/>
      <c r="N117" s="32"/>
      <c r="O117" s="35"/>
      <c r="P117" s="3"/>
    </row>
    <row r="118" spans="1:16" s="4" customFormat="1" x14ac:dyDescent="0.25">
      <c r="A118" s="34">
        <f>IF(I118&lt;&gt;"",1+MAX($A$40:A117),"")</f>
        <v>60</v>
      </c>
      <c r="B118" s="26"/>
      <c r="C118" s="26"/>
      <c r="D118" s="27"/>
      <c r="E118" s="101" t="s">
        <v>114</v>
      </c>
      <c r="F118" s="122">
        <v>5.1731249999999998</v>
      </c>
      <c r="G118" s="36">
        <v>0.1</v>
      </c>
      <c r="H118" s="29">
        <f t="shared" ref="H118:H122" si="65">IF(F118=0,"",F118*(1+G118))</f>
        <v>5.6904374999999998</v>
      </c>
      <c r="I118" s="39" t="s">
        <v>79</v>
      </c>
      <c r="J118" s="31">
        <f>2.03*16</f>
        <v>32.479999999999997</v>
      </c>
      <c r="K118" s="31">
        <v>36.799999999999997</v>
      </c>
      <c r="L118" s="32">
        <f t="shared" ref="L118:L122" si="66">IF(F118=0,"",J118*H118)</f>
        <v>184.82540999999998</v>
      </c>
      <c r="M118" s="32">
        <f t="shared" ref="M118:M122" si="67">IF(F118=0,"",K118*H118)</f>
        <v>209.40809999999999</v>
      </c>
      <c r="N118" s="32">
        <f t="shared" ref="N118:N122" si="68">IF(F118=0,"",L118+M118)</f>
        <v>394.23350999999997</v>
      </c>
      <c r="O118" s="35"/>
      <c r="P118" s="3"/>
    </row>
    <row r="119" spans="1:16" s="4" customFormat="1" x14ac:dyDescent="0.25">
      <c r="A119" s="34">
        <f>IF(I119&lt;&gt;"",1+MAX($A$40:A118),"")</f>
        <v>61</v>
      </c>
      <c r="B119" s="26"/>
      <c r="C119" s="26"/>
      <c r="D119" s="27"/>
      <c r="E119" s="101" t="s">
        <v>97</v>
      </c>
      <c r="F119" s="122">
        <v>5.1731249999999998</v>
      </c>
      <c r="G119" s="36">
        <v>0.1</v>
      </c>
      <c r="H119" s="29">
        <f t="shared" si="65"/>
        <v>5.6904374999999998</v>
      </c>
      <c r="I119" s="39" t="s">
        <v>79</v>
      </c>
      <c r="J119" s="31">
        <f>2.03*16</f>
        <v>32.479999999999997</v>
      </c>
      <c r="K119" s="31">
        <v>36.799999999999997</v>
      </c>
      <c r="L119" s="32">
        <f t="shared" si="66"/>
        <v>184.82540999999998</v>
      </c>
      <c r="M119" s="32">
        <f t="shared" si="67"/>
        <v>209.40809999999999</v>
      </c>
      <c r="N119" s="32">
        <f t="shared" si="68"/>
        <v>394.23350999999997</v>
      </c>
      <c r="O119" s="35"/>
      <c r="P119" s="3"/>
    </row>
    <row r="120" spans="1:16" s="4" customFormat="1" x14ac:dyDescent="0.25">
      <c r="A120" s="34">
        <f>IF(I120&lt;&gt;"",1+MAX($A$40:A119),"")</f>
        <v>62</v>
      </c>
      <c r="B120" s="26"/>
      <c r="C120" s="26"/>
      <c r="D120" s="27"/>
      <c r="E120" s="101" t="s">
        <v>115</v>
      </c>
      <c r="F120" s="122">
        <v>63.233082706766908</v>
      </c>
      <c r="G120" s="36">
        <v>0.1</v>
      </c>
      <c r="H120" s="29">
        <f t="shared" si="65"/>
        <v>69.556390977443598</v>
      </c>
      <c r="I120" s="39" t="s">
        <v>79</v>
      </c>
      <c r="J120" s="31">
        <f>1.34*10</f>
        <v>13.4</v>
      </c>
      <c r="K120" s="31">
        <f>1.39*10</f>
        <v>13.899999999999999</v>
      </c>
      <c r="L120" s="32">
        <f t="shared" si="66"/>
        <v>932.05563909774423</v>
      </c>
      <c r="M120" s="32">
        <f t="shared" si="67"/>
        <v>966.83383458646597</v>
      </c>
      <c r="N120" s="32">
        <f t="shared" si="68"/>
        <v>1898.8894736842103</v>
      </c>
      <c r="O120" s="35"/>
      <c r="P120" s="3"/>
    </row>
    <row r="121" spans="1:16" s="4" customFormat="1" x14ac:dyDescent="0.25">
      <c r="A121" s="34">
        <f>IF(I121&lt;&gt;"",1+MAX($A$40:A120),"")</f>
        <v>63</v>
      </c>
      <c r="B121" s="26"/>
      <c r="C121" s="26"/>
      <c r="D121" s="27"/>
      <c r="E121" s="101" t="s">
        <v>116</v>
      </c>
      <c r="F121" s="122">
        <v>20.692499999999999</v>
      </c>
      <c r="G121" s="36">
        <v>0.1</v>
      </c>
      <c r="H121" s="29">
        <f t="shared" si="65"/>
        <v>22.761749999999999</v>
      </c>
      <c r="I121" s="39" t="s">
        <v>82</v>
      </c>
      <c r="J121" s="31">
        <f>0.94*48</f>
        <v>45.12</v>
      </c>
      <c r="K121" s="31">
        <f>1.98*48</f>
        <v>95.039999999999992</v>
      </c>
      <c r="L121" s="32">
        <f t="shared" si="66"/>
        <v>1027.0101599999998</v>
      </c>
      <c r="M121" s="32">
        <f t="shared" si="67"/>
        <v>2163.2767199999998</v>
      </c>
      <c r="N121" s="32">
        <f t="shared" si="68"/>
        <v>3190.2868799999997</v>
      </c>
      <c r="O121" s="35"/>
      <c r="P121" s="3"/>
    </row>
    <row r="122" spans="1:16" s="4" customFormat="1" x14ac:dyDescent="0.25">
      <c r="A122" s="34">
        <f>IF(I122&lt;&gt;"",1+MAX($A$40:A121),"")</f>
        <v>64</v>
      </c>
      <c r="B122" s="26"/>
      <c r="C122" s="26"/>
      <c r="D122" s="27"/>
      <c r="E122" s="101" t="s">
        <v>94</v>
      </c>
      <c r="F122" s="122">
        <v>165.54</v>
      </c>
      <c r="G122" s="36">
        <v>0.1</v>
      </c>
      <c r="H122" s="29">
        <f t="shared" si="65"/>
        <v>182.09399999999999</v>
      </c>
      <c r="I122" s="39" t="s">
        <v>80</v>
      </c>
      <c r="J122" s="31">
        <v>0.22</v>
      </c>
      <c r="K122" s="31">
        <v>0.74749999999999994</v>
      </c>
      <c r="L122" s="32">
        <f t="shared" si="66"/>
        <v>40.060679999999998</v>
      </c>
      <c r="M122" s="32">
        <f t="shared" si="67"/>
        <v>136.11526499999999</v>
      </c>
      <c r="N122" s="32">
        <f t="shared" si="68"/>
        <v>176.17594499999998</v>
      </c>
      <c r="O122" s="35"/>
      <c r="P122" s="3"/>
    </row>
    <row r="123" spans="1:16" s="4" customFormat="1" x14ac:dyDescent="0.25">
      <c r="A123" s="34" t="str">
        <f>IF(I123&lt;&gt;"",1+MAX($A$40:A122),"")</f>
        <v/>
      </c>
      <c r="B123" s="26"/>
      <c r="C123" s="26"/>
      <c r="D123" s="27"/>
      <c r="E123" s="100" t="s">
        <v>117</v>
      </c>
      <c r="F123" s="122"/>
      <c r="G123" s="99"/>
      <c r="H123" s="99"/>
      <c r="I123" s="39"/>
      <c r="J123" s="31"/>
      <c r="K123" s="31"/>
      <c r="L123" s="32"/>
      <c r="M123" s="32"/>
      <c r="N123" s="32"/>
      <c r="O123" s="35"/>
      <c r="P123" s="3"/>
    </row>
    <row r="124" spans="1:16" s="4" customFormat="1" x14ac:dyDescent="0.25">
      <c r="A124" s="34">
        <f>IF(I124&lt;&gt;"",1+MAX($A$40:A123),"")</f>
        <v>65</v>
      </c>
      <c r="B124" s="26"/>
      <c r="C124" s="26"/>
      <c r="D124" s="27"/>
      <c r="E124" s="101" t="s">
        <v>114</v>
      </c>
      <c r="F124" s="122">
        <v>4.74</v>
      </c>
      <c r="G124" s="36">
        <v>0.1</v>
      </c>
      <c r="H124" s="29">
        <f t="shared" ref="H124:H128" si="69">IF(F124=0,"",F124*(1+G124))</f>
        <v>5.2140000000000004</v>
      </c>
      <c r="I124" s="39" t="s">
        <v>79</v>
      </c>
      <c r="J124" s="31">
        <f>2.03*16</f>
        <v>32.479999999999997</v>
      </c>
      <c r="K124" s="31">
        <v>36.799999999999997</v>
      </c>
      <c r="L124" s="32">
        <f t="shared" ref="L124:L128" si="70">IF(F124=0,"",J124*H124)</f>
        <v>169.35072</v>
      </c>
      <c r="M124" s="32">
        <f t="shared" ref="M124:M128" si="71">IF(F124=0,"",K124*H124)</f>
        <v>191.87520000000001</v>
      </c>
      <c r="N124" s="32">
        <f t="shared" ref="N124:N128" si="72">IF(F124=0,"",L124+M124)</f>
        <v>361.22591999999997</v>
      </c>
      <c r="O124" s="35"/>
      <c r="P124" s="3"/>
    </row>
    <row r="125" spans="1:16" s="4" customFormat="1" x14ac:dyDescent="0.25">
      <c r="A125" s="34">
        <f>IF(I125&lt;&gt;"",1+MAX($A$40:A124),"")</f>
        <v>66</v>
      </c>
      <c r="B125" s="26"/>
      <c r="C125" s="26"/>
      <c r="D125" s="27"/>
      <c r="E125" s="101" t="s">
        <v>97</v>
      </c>
      <c r="F125" s="122">
        <v>4.74</v>
      </c>
      <c r="G125" s="36">
        <v>0.1</v>
      </c>
      <c r="H125" s="29">
        <f t="shared" si="69"/>
        <v>5.2140000000000004</v>
      </c>
      <c r="I125" s="39" t="s">
        <v>79</v>
      </c>
      <c r="J125" s="31">
        <f>2.03*16</f>
        <v>32.479999999999997</v>
      </c>
      <c r="K125" s="31">
        <v>36.799999999999997</v>
      </c>
      <c r="L125" s="32">
        <f t="shared" si="70"/>
        <v>169.35072</v>
      </c>
      <c r="M125" s="32">
        <f t="shared" si="71"/>
        <v>191.87520000000001</v>
      </c>
      <c r="N125" s="32">
        <f t="shared" si="72"/>
        <v>361.22591999999997</v>
      </c>
      <c r="O125" s="35"/>
      <c r="P125" s="3"/>
    </row>
    <row r="126" spans="1:16" s="4" customFormat="1" x14ac:dyDescent="0.25">
      <c r="A126" s="34">
        <f>IF(I126&lt;&gt;"",1+MAX($A$40:A125),"")</f>
        <v>67</v>
      </c>
      <c r="B126" s="26"/>
      <c r="C126" s="26"/>
      <c r="D126" s="27"/>
      <c r="E126" s="101" t="s">
        <v>115</v>
      </c>
      <c r="F126" s="122">
        <v>58.022556390977442</v>
      </c>
      <c r="G126" s="36">
        <v>0.1</v>
      </c>
      <c r="H126" s="29">
        <f t="shared" si="69"/>
        <v>63.824812030075194</v>
      </c>
      <c r="I126" s="39" t="s">
        <v>79</v>
      </c>
      <c r="J126" s="31">
        <f>1.34*10</f>
        <v>13.4</v>
      </c>
      <c r="K126" s="31">
        <f>1.39*10</f>
        <v>13.899999999999999</v>
      </c>
      <c r="L126" s="32">
        <f t="shared" si="70"/>
        <v>855.25248120300762</v>
      </c>
      <c r="M126" s="32">
        <f t="shared" si="71"/>
        <v>887.16488721804512</v>
      </c>
      <c r="N126" s="32">
        <f t="shared" si="72"/>
        <v>1742.4173684210527</v>
      </c>
      <c r="O126" s="35"/>
      <c r="P126" s="3"/>
    </row>
    <row r="127" spans="1:16" s="4" customFormat="1" x14ac:dyDescent="0.25">
      <c r="A127" s="34">
        <f>IF(I127&lt;&gt;"",1+MAX($A$40:A126),"")</f>
        <v>68</v>
      </c>
      <c r="B127" s="26"/>
      <c r="C127" s="26"/>
      <c r="D127" s="27"/>
      <c r="E127" s="101" t="s">
        <v>118</v>
      </c>
      <c r="F127" s="122">
        <v>37.92</v>
      </c>
      <c r="G127" s="36">
        <v>0.1</v>
      </c>
      <c r="H127" s="29">
        <f t="shared" si="69"/>
        <v>41.712000000000003</v>
      </c>
      <c r="I127" s="39" t="s">
        <v>82</v>
      </c>
      <c r="J127" s="31">
        <f>0.94*48</f>
        <v>45.12</v>
      </c>
      <c r="K127" s="31">
        <f>1.98*48</f>
        <v>95.039999999999992</v>
      </c>
      <c r="L127" s="32">
        <f t="shared" si="70"/>
        <v>1882.0454400000001</v>
      </c>
      <c r="M127" s="32">
        <f t="shared" si="71"/>
        <v>3964.3084800000001</v>
      </c>
      <c r="N127" s="32">
        <f t="shared" si="72"/>
        <v>5846.3539200000005</v>
      </c>
      <c r="O127" s="35"/>
      <c r="P127" s="3"/>
    </row>
    <row r="128" spans="1:16" s="4" customFormat="1" x14ac:dyDescent="0.25">
      <c r="A128" s="34">
        <f>IF(I128&lt;&gt;"",1+MAX($A$40:A127),"")</f>
        <v>69</v>
      </c>
      <c r="B128" s="26"/>
      <c r="C128" s="26"/>
      <c r="D128" s="27"/>
      <c r="E128" s="101" t="s">
        <v>94</v>
      </c>
      <c r="F128" s="122">
        <v>303.36</v>
      </c>
      <c r="G128" s="36">
        <v>0.1</v>
      </c>
      <c r="H128" s="29">
        <f t="shared" si="69"/>
        <v>333.69600000000003</v>
      </c>
      <c r="I128" s="39" t="s">
        <v>80</v>
      </c>
      <c r="J128" s="31">
        <v>0.22</v>
      </c>
      <c r="K128" s="31">
        <v>0.74749999999999994</v>
      </c>
      <c r="L128" s="32">
        <f t="shared" si="70"/>
        <v>73.413120000000006</v>
      </c>
      <c r="M128" s="32">
        <f t="shared" si="71"/>
        <v>249.43776</v>
      </c>
      <c r="N128" s="32">
        <f t="shared" si="72"/>
        <v>322.85088000000002</v>
      </c>
      <c r="O128" s="35"/>
      <c r="P128" s="3"/>
    </row>
    <row r="129" spans="1:16" s="4" customFormat="1" x14ac:dyDescent="0.25">
      <c r="A129" s="34" t="str">
        <f>IF(I129&lt;&gt;"",1+MAX($A$40:A128),"")</f>
        <v/>
      </c>
      <c r="B129" s="26"/>
      <c r="C129" s="26"/>
      <c r="D129" s="27"/>
      <c r="E129" s="100" t="s">
        <v>119</v>
      </c>
      <c r="F129" s="122"/>
      <c r="G129" s="99"/>
      <c r="H129" s="99"/>
      <c r="I129" s="39"/>
      <c r="J129" s="31"/>
      <c r="K129" s="31"/>
      <c r="L129" s="32"/>
      <c r="M129" s="32"/>
      <c r="N129" s="32"/>
      <c r="O129" s="35"/>
      <c r="P129" s="3"/>
    </row>
    <row r="130" spans="1:16" s="4" customFormat="1" x14ac:dyDescent="0.25">
      <c r="A130" s="34">
        <f>IF(I130&lt;&gt;"",1+MAX($A$40:A129),"")</f>
        <v>70</v>
      </c>
      <c r="B130" s="26"/>
      <c r="C130" s="26"/>
      <c r="D130" s="27"/>
      <c r="E130" s="101" t="s">
        <v>101</v>
      </c>
      <c r="F130" s="122">
        <v>3.9681250000000001</v>
      </c>
      <c r="G130" s="36">
        <v>0.1</v>
      </c>
      <c r="H130" s="29">
        <f t="shared" ref="H130:H136" si="73">IF(F130=0,"",F130*(1+G130))</f>
        <v>4.3649375000000008</v>
      </c>
      <c r="I130" s="39" t="s">
        <v>79</v>
      </c>
      <c r="J130" s="31">
        <f>2.03*16</f>
        <v>32.479999999999997</v>
      </c>
      <c r="K130" s="31">
        <v>36.799999999999997</v>
      </c>
      <c r="L130" s="32">
        <f t="shared" ref="L130:L136" si="74">IF(F130=0,"",J130*H130)</f>
        <v>141.77317000000002</v>
      </c>
      <c r="M130" s="32">
        <f t="shared" ref="M130:M136" si="75">IF(F130=0,"",K130*H130)</f>
        <v>160.62970000000001</v>
      </c>
      <c r="N130" s="32">
        <f t="shared" ref="N130:N136" si="76">IF(F130=0,"",L130+M130)</f>
        <v>302.40287000000001</v>
      </c>
      <c r="O130" s="35"/>
      <c r="P130" s="3"/>
    </row>
    <row r="131" spans="1:16" s="4" customFormat="1" x14ac:dyDescent="0.25">
      <c r="A131" s="34">
        <f>IF(I131&lt;&gt;"",1+MAX($A$40:A130),"")</f>
        <v>71</v>
      </c>
      <c r="B131" s="26"/>
      <c r="C131" s="26"/>
      <c r="D131" s="27"/>
      <c r="E131" s="101" t="s">
        <v>97</v>
      </c>
      <c r="F131" s="122">
        <v>3.9681250000000001</v>
      </c>
      <c r="G131" s="36">
        <v>0.1</v>
      </c>
      <c r="H131" s="29">
        <f t="shared" si="73"/>
        <v>4.3649375000000008</v>
      </c>
      <c r="I131" s="39" t="s">
        <v>79</v>
      </c>
      <c r="J131" s="31">
        <f>2.03*16</f>
        <v>32.479999999999997</v>
      </c>
      <c r="K131" s="31">
        <v>36.799999999999997</v>
      </c>
      <c r="L131" s="32">
        <f t="shared" si="74"/>
        <v>141.77317000000002</v>
      </c>
      <c r="M131" s="32">
        <f t="shared" si="75"/>
        <v>160.62970000000001</v>
      </c>
      <c r="N131" s="32">
        <f t="shared" si="76"/>
        <v>302.40287000000001</v>
      </c>
      <c r="O131" s="35"/>
      <c r="P131" s="3"/>
    </row>
    <row r="132" spans="1:16" s="4" customFormat="1" x14ac:dyDescent="0.25">
      <c r="A132" s="34">
        <f>IF(I132&lt;&gt;"",1+MAX($A$40:A131),"")</f>
        <v>72</v>
      </c>
      <c r="B132" s="26"/>
      <c r="C132" s="26"/>
      <c r="D132" s="27"/>
      <c r="E132" s="101" t="s">
        <v>105</v>
      </c>
      <c r="F132" s="122">
        <v>48.736842105263158</v>
      </c>
      <c r="G132" s="36">
        <v>0.1</v>
      </c>
      <c r="H132" s="29">
        <f t="shared" si="73"/>
        <v>53.610526315789478</v>
      </c>
      <c r="I132" s="39" t="s">
        <v>79</v>
      </c>
      <c r="J132" s="31">
        <f>1.34*14</f>
        <v>18.760000000000002</v>
      </c>
      <c r="K132" s="31">
        <f>1.39*14</f>
        <v>19.459999999999997</v>
      </c>
      <c r="L132" s="32">
        <f t="shared" si="74"/>
        <v>1005.7334736842107</v>
      </c>
      <c r="M132" s="32">
        <f t="shared" si="75"/>
        <v>1043.260842105263</v>
      </c>
      <c r="N132" s="32">
        <f t="shared" si="76"/>
        <v>2048.9943157894736</v>
      </c>
      <c r="O132" s="35"/>
      <c r="P132" s="3"/>
    </row>
    <row r="133" spans="1:16" s="4" customFormat="1" x14ac:dyDescent="0.25">
      <c r="A133" s="34">
        <f>IF(I133&lt;&gt;"",1+MAX($A$40:A132),"")</f>
        <v>73</v>
      </c>
      <c r="B133" s="26"/>
      <c r="C133" s="26"/>
      <c r="D133" s="27"/>
      <c r="E133" s="101" t="s">
        <v>106</v>
      </c>
      <c r="F133" s="122">
        <v>117.34949438202247</v>
      </c>
      <c r="G133" s="36">
        <v>0.1</v>
      </c>
      <c r="H133" s="29">
        <f t="shared" si="73"/>
        <v>129.08444382022472</v>
      </c>
      <c r="I133" s="39" t="s">
        <v>79</v>
      </c>
      <c r="J133" s="31">
        <f>4.95*4.83</f>
        <v>23.9085</v>
      </c>
      <c r="K133" s="31">
        <f>2.28*4.83</f>
        <v>11.0124</v>
      </c>
      <c r="L133" s="32">
        <f t="shared" si="74"/>
        <v>3086.2154250758426</v>
      </c>
      <c r="M133" s="32">
        <f t="shared" si="75"/>
        <v>1421.5295291258426</v>
      </c>
      <c r="N133" s="32">
        <f t="shared" si="76"/>
        <v>4507.7449542016857</v>
      </c>
      <c r="O133" s="35"/>
      <c r="P133" s="3"/>
    </row>
    <row r="134" spans="1:16" s="4" customFormat="1" x14ac:dyDescent="0.25">
      <c r="A134" s="34">
        <f>IF(I134&lt;&gt;"",1+MAX($A$40:A133),"")</f>
        <v>74</v>
      </c>
      <c r="B134" s="26"/>
      <c r="C134" s="26"/>
      <c r="D134" s="27"/>
      <c r="E134" s="101" t="s">
        <v>120</v>
      </c>
      <c r="F134" s="122">
        <v>40.567464583333333</v>
      </c>
      <c r="G134" s="36">
        <v>0.1</v>
      </c>
      <c r="H134" s="29">
        <f t="shared" si="73"/>
        <v>44.624211041666669</v>
      </c>
      <c r="I134" s="39" t="s">
        <v>82</v>
      </c>
      <c r="J134" s="31">
        <f>0.89*48</f>
        <v>42.72</v>
      </c>
      <c r="K134" s="31">
        <f>1.86*48</f>
        <v>89.28</v>
      </c>
      <c r="L134" s="32">
        <f t="shared" si="74"/>
        <v>1906.3462957000002</v>
      </c>
      <c r="M134" s="32">
        <f t="shared" si="75"/>
        <v>3984.0495618000004</v>
      </c>
      <c r="N134" s="32">
        <f t="shared" si="76"/>
        <v>5890.3958575000006</v>
      </c>
      <c r="O134" s="35"/>
      <c r="P134" s="3"/>
    </row>
    <row r="135" spans="1:16" s="4" customFormat="1" x14ac:dyDescent="0.25">
      <c r="A135" s="34">
        <f>IF(I135&lt;&gt;"",1+MAX($A$40:A134),"")</f>
        <v>75</v>
      </c>
      <c r="B135" s="26"/>
      <c r="C135" s="26"/>
      <c r="D135" s="27"/>
      <c r="E135" s="101" t="s">
        <v>121</v>
      </c>
      <c r="F135" s="122">
        <v>888.86</v>
      </c>
      <c r="G135" s="36">
        <v>0.1</v>
      </c>
      <c r="H135" s="29">
        <f t="shared" si="73"/>
        <v>977.74600000000009</v>
      </c>
      <c r="I135" s="39" t="s">
        <v>81</v>
      </c>
      <c r="J135" s="31">
        <v>1.85</v>
      </c>
      <c r="K135" s="31">
        <v>0.94</v>
      </c>
      <c r="L135" s="32">
        <f t="shared" si="74"/>
        <v>1808.8301000000004</v>
      </c>
      <c r="M135" s="32">
        <f t="shared" si="75"/>
        <v>919.08124000000009</v>
      </c>
      <c r="N135" s="32">
        <f t="shared" si="76"/>
        <v>2727.9113400000006</v>
      </c>
      <c r="O135" s="35"/>
      <c r="P135" s="3"/>
    </row>
    <row r="136" spans="1:16" s="4" customFormat="1" x14ac:dyDescent="0.25">
      <c r="A136" s="34">
        <f>IF(I136&lt;&gt;"",1+MAX($A$40:A135),"")</f>
        <v>76</v>
      </c>
      <c r="B136" s="26"/>
      <c r="C136" s="26"/>
      <c r="D136" s="27"/>
      <c r="E136" s="101" t="s">
        <v>94</v>
      </c>
      <c r="F136" s="122">
        <v>253.96</v>
      </c>
      <c r="G136" s="36">
        <v>0.1</v>
      </c>
      <c r="H136" s="29">
        <f t="shared" si="73"/>
        <v>279.35600000000005</v>
      </c>
      <c r="I136" s="39" t="s">
        <v>80</v>
      </c>
      <c r="J136" s="31">
        <v>0.22</v>
      </c>
      <c r="K136" s="31">
        <v>0.74749999999999994</v>
      </c>
      <c r="L136" s="32">
        <f t="shared" si="74"/>
        <v>61.458320000000015</v>
      </c>
      <c r="M136" s="32">
        <f t="shared" si="75"/>
        <v>208.81861000000004</v>
      </c>
      <c r="N136" s="32">
        <f t="shared" si="76"/>
        <v>270.27693000000005</v>
      </c>
      <c r="O136" s="35"/>
      <c r="P136" s="3"/>
    </row>
    <row r="137" spans="1:16" s="4" customFormat="1" x14ac:dyDescent="0.25">
      <c r="A137" s="34" t="str">
        <f>IF(I137&lt;&gt;"",1+MAX($A$40:A136),"")</f>
        <v/>
      </c>
      <c r="B137" s="26"/>
      <c r="C137" s="26"/>
      <c r="D137" s="27"/>
      <c r="E137" s="100" t="s">
        <v>122</v>
      </c>
      <c r="F137" s="122"/>
      <c r="G137" s="99"/>
      <c r="H137" s="99"/>
      <c r="I137" s="39"/>
      <c r="J137" s="31"/>
      <c r="K137" s="31"/>
      <c r="L137" s="32"/>
      <c r="M137" s="32"/>
      <c r="N137" s="32"/>
      <c r="O137" s="35"/>
      <c r="P137" s="3"/>
    </row>
    <row r="138" spans="1:16" s="4" customFormat="1" x14ac:dyDescent="0.25">
      <c r="A138" s="34">
        <f>IF(I138&lt;&gt;"",1+MAX($A$40:A137),"")</f>
        <v>77</v>
      </c>
      <c r="B138" s="26"/>
      <c r="C138" s="26"/>
      <c r="D138" s="27"/>
      <c r="E138" s="101" t="s">
        <v>101</v>
      </c>
      <c r="F138" s="122">
        <v>1.7393749999999999</v>
      </c>
      <c r="G138" s="36">
        <v>0.1</v>
      </c>
      <c r="H138" s="29">
        <f t="shared" ref="H138:H143" si="77">IF(F138=0,"",F138*(1+G138))</f>
        <v>1.9133125</v>
      </c>
      <c r="I138" s="39" t="s">
        <v>79</v>
      </c>
      <c r="J138" s="31">
        <f>2.03*16</f>
        <v>32.479999999999997</v>
      </c>
      <c r="K138" s="31">
        <v>36.799999999999997</v>
      </c>
      <c r="L138" s="32">
        <f t="shared" ref="L138:L143" si="78">IF(F138=0,"",J138*H138)</f>
        <v>62.144389999999994</v>
      </c>
      <c r="M138" s="32">
        <f t="shared" ref="M138:M143" si="79">IF(F138=0,"",K138*H138)</f>
        <v>70.409899999999993</v>
      </c>
      <c r="N138" s="32">
        <f t="shared" ref="N138:N143" si="80">IF(F138=0,"",L138+M138)</f>
        <v>132.55428999999998</v>
      </c>
      <c r="O138" s="35"/>
      <c r="P138" s="3"/>
    </row>
    <row r="139" spans="1:16" s="4" customFormat="1" x14ac:dyDescent="0.25">
      <c r="A139" s="34">
        <f>IF(I139&lt;&gt;"",1+MAX($A$40:A138),"")</f>
        <v>78</v>
      </c>
      <c r="B139" s="26"/>
      <c r="C139" s="26"/>
      <c r="D139" s="27"/>
      <c r="E139" s="101" t="s">
        <v>97</v>
      </c>
      <c r="F139" s="122">
        <v>1.7393749999999999</v>
      </c>
      <c r="G139" s="36">
        <v>0.1</v>
      </c>
      <c r="H139" s="29">
        <f t="shared" si="77"/>
        <v>1.9133125</v>
      </c>
      <c r="I139" s="39" t="s">
        <v>79</v>
      </c>
      <c r="J139" s="31">
        <f>2.03*16</f>
        <v>32.479999999999997</v>
      </c>
      <c r="K139" s="31">
        <v>36.799999999999997</v>
      </c>
      <c r="L139" s="32">
        <f t="shared" si="78"/>
        <v>62.144389999999994</v>
      </c>
      <c r="M139" s="32">
        <f t="shared" si="79"/>
        <v>70.409899999999993</v>
      </c>
      <c r="N139" s="32">
        <f t="shared" si="80"/>
        <v>132.55428999999998</v>
      </c>
      <c r="O139" s="35"/>
      <c r="P139" s="3"/>
    </row>
    <row r="140" spans="1:16" s="4" customFormat="1" x14ac:dyDescent="0.25">
      <c r="A140" s="34">
        <f>IF(I140&lt;&gt;"",1+MAX($A$40:A139),"")</f>
        <v>79</v>
      </c>
      <c r="B140" s="26"/>
      <c r="C140" s="26"/>
      <c r="D140" s="27"/>
      <c r="E140" s="101" t="s">
        <v>123</v>
      </c>
      <c r="F140" s="122">
        <v>21.924812030075184</v>
      </c>
      <c r="G140" s="36">
        <v>0.1</v>
      </c>
      <c r="H140" s="29">
        <f t="shared" si="77"/>
        <v>24.117293233082705</v>
      </c>
      <c r="I140" s="39" t="s">
        <v>79</v>
      </c>
      <c r="J140" s="31">
        <f>1.34*16</f>
        <v>21.44</v>
      </c>
      <c r="K140" s="31">
        <f>1.39*16</f>
        <v>22.24</v>
      </c>
      <c r="L140" s="32">
        <f t="shared" si="78"/>
        <v>517.07476691729323</v>
      </c>
      <c r="M140" s="32">
        <f t="shared" si="79"/>
        <v>536.36860150375935</v>
      </c>
      <c r="N140" s="32">
        <f t="shared" si="80"/>
        <v>1053.4433684210526</v>
      </c>
      <c r="O140" s="35"/>
      <c r="P140" s="3"/>
    </row>
    <row r="141" spans="1:16" s="4" customFormat="1" x14ac:dyDescent="0.25">
      <c r="A141" s="34">
        <f>IF(I141&lt;&gt;"",1+MAX($A$40:A140),"")</f>
        <v>80</v>
      </c>
      <c r="B141" s="26"/>
      <c r="C141" s="26"/>
      <c r="D141" s="27"/>
      <c r="E141" s="101" t="s">
        <v>124</v>
      </c>
      <c r="F141" s="122">
        <v>27.83</v>
      </c>
      <c r="G141" s="36">
        <v>0.1</v>
      </c>
      <c r="H141" s="29">
        <f t="shared" si="77"/>
        <v>30.613</v>
      </c>
      <c r="I141" s="39" t="s">
        <v>82</v>
      </c>
      <c r="J141" s="31">
        <f>0.89*32</f>
        <v>28.48</v>
      </c>
      <c r="K141" s="31">
        <f>1.92*32</f>
        <v>61.44</v>
      </c>
      <c r="L141" s="32">
        <f t="shared" si="78"/>
        <v>871.85824000000002</v>
      </c>
      <c r="M141" s="32">
        <f t="shared" si="79"/>
        <v>1880.8627199999999</v>
      </c>
      <c r="N141" s="32">
        <f t="shared" si="80"/>
        <v>2752.7209599999996</v>
      </c>
      <c r="O141" s="35"/>
      <c r="P141" s="3"/>
    </row>
    <row r="142" spans="1:16" s="4" customFormat="1" x14ac:dyDescent="0.25">
      <c r="A142" s="34">
        <f>IF(I142&lt;&gt;"",1+MAX($A$40:A141),"")</f>
        <v>81</v>
      </c>
      <c r="B142" s="26"/>
      <c r="C142" s="26"/>
      <c r="D142" s="27"/>
      <c r="E142" s="101" t="s">
        <v>121</v>
      </c>
      <c r="F142" s="122">
        <v>445.28</v>
      </c>
      <c r="G142" s="36">
        <v>0.1</v>
      </c>
      <c r="H142" s="29">
        <f t="shared" si="77"/>
        <v>489.80799999999999</v>
      </c>
      <c r="I142" s="39" t="s">
        <v>81</v>
      </c>
      <c r="J142" s="31">
        <v>1.85</v>
      </c>
      <c r="K142" s="31">
        <v>0.94</v>
      </c>
      <c r="L142" s="32">
        <f t="shared" si="78"/>
        <v>906.14480000000003</v>
      </c>
      <c r="M142" s="32">
        <f t="shared" si="79"/>
        <v>460.41951999999998</v>
      </c>
      <c r="N142" s="32">
        <f t="shared" si="80"/>
        <v>1366.56432</v>
      </c>
      <c r="O142" s="35"/>
      <c r="P142" s="3"/>
    </row>
    <row r="143" spans="1:16" s="4" customFormat="1" x14ac:dyDescent="0.25">
      <c r="A143" s="34">
        <f>IF(I143&lt;&gt;"",1+MAX($A$40:A142),"")</f>
        <v>82</v>
      </c>
      <c r="B143" s="26"/>
      <c r="C143" s="26"/>
      <c r="D143" s="27"/>
      <c r="E143" s="101" t="s">
        <v>94</v>
      </c>
      <c r="F143" s="122">
        <v>111.32</v>
      </c>
      <c r="G143" s="36">
        <v>0.1</v>
      </c>
      <c r="H143" s="29">
        <f t="shared" si="77"/>
        <v>122.452</v>
      </c>
      <c r="I143" s="39" t="s">
        <v>80</v>
      </c>
      <c r="J143" s="31">
        <v>0.22</v>
      </c>
      <c r="K143" s="31">
        <v>0.74749999999999994</v>
      </c>
      <c r="L143" s="32">
        <f t="shared" si="78"/>
        <v>26.939440000000001</v>
      </c>
      <c r="M143" s="32">
        <f t="shared" si="79"/>
        <v>91.532869999999988</v>
      </c>
      <c r="N143" s="32">
        <f t="shared" si="80"/>
        <v>118.47230999999999</v>
      </c>
      <c r="O143" s="35"/>
      <c r="P143" s="3"/>
    </row>
    <row r="144" spans="1:16" s="4" customFormat="1" x14ac:dyDescent="0.25">
      <c r="A144" s="34" t="str">
        <f>IF(I144&lt;&gt;"",1+MAX($A$40:A143),"")</f>
        <v/>
      </c>
      <c r="B144" s="26"/>
      <c r="C144" s="26"/>
      <c r="D144" s="27"/>
      <c r="E144" s="100" t="s">
        <v>125</v>
      </c>
      <c r="F144" s="122"/>
      <c r="G144" s="99"/>
      <c r="H144" s="99"/>
      <c r="I144" s="39"/>
      <c r="J144" s="31"/>
      <c r="K144" s="31"/>
      <c r="L144" s="32"/>
      <c r="M144" s="32"/>
      <c r="N144" s="32"/>
      <c r="O144" s="35"/>
      <c r="P144" s="3"/>
    </row>
    <row r="145" spans="1:16" s="4" customFormat="1" x14ac:dyDescent="0.25">
      <c r="A145" s="34">
        <f>IF(I145&lt;&gt;"",1+MAX($A$40:A144),"")</f>
        <v>83</v>
      </c>
      <c r="B145" s="26"/>
      <c r="C145" s="26"/>
      <c r="D145" s="27"/>
      <c r="E145" s="101" t="s">
        <v>101</v>
      </c>
      <c r="F145" s="122">
        <v>0.59250000000000003</v>
      </c>
      <c r="G145" s="36">
        <v>0.1</v>
      </c>
      <c r="H145" s="29">
        <f t="shared" ref="H145:H149" si="81">IF(F145=0,"",F145*(1+G145))</f>
        <v>0.65175000000000005</v>
      </c>
      <c r="I145" s="39" t="s">
        <v>79</v>
      </c>
      <c r="J145" s="31">
        <f>2.03*16</f>
        <v>32.479999999999997</v>
      </c>
      <c r="K145" s="31">
        <v>36.799999999999997</v>
      </c>
      <c r="L145" s="32">
        <f t="shared" ref="L145:L149" si="82">IF(F145=0,"",J145*H145)</f>
        <v>21.168839999999999</v>
      </c>
      <c r="M145" s="32">
        <f t="shared" ref="M145:M149" si="83">IF(F145=0,"",K145*H145)</f>
        <v>23.984400000000001</v>
      </c>
      <c r="N145" s="32">
        <f t="shared" ref="N145:N149" si="84">IF(F145=0,"",L145+M145)</f>
        <v>45.153239999999997</v>
      </c>
      <c r="O145" s="35"/>
      <c r="P145" s="3"/>
    </row>
    <row r="146" spans="1:16" s="4" customFormat="1" x14ac:dyDescent="0.25">
      <c r="A146" s="34">
        <f>IF(I146&lt;&gt;"",1+MAX($A$40:A145),"")</f>
        <v>84</v>
      </c>
      <c r="B146" s="26"/>
      <c r="C146" s="26"/>
      <c r="D146" s="27"/>
      <c r="E146" s="101" t="s">
        <v>97</v>
      </c>
      <c r="F146" s="122">
        <v>0.59250000000000003</v>
      </c>
      <c r="G146" s="36">
        <v>0.1</v>
      </c>
      <c r="H146" s="29">
        <f t="shared" si="81"/>
        <v>0.65175000000000005</v>
      </c>
      <c r="I146" s="39" t="s">
        <v>79</v>
      </c>
      <c r="J146" s="31">
        <f>2.03*16</f>
        <v>32.479999999999997</v>
      </c>
      <c r="K146" s="31">
        <v>36.799999999999997</v>
      </c>
      <c r="L146" s="32">
        <f t="shared" si="82"/>
        <v>21.168839999999999</v>
      </c>
      <c r="M146" s="32">
        <f t="shared" si="83"/>
        <v>23.984400000000001</v>
      </c>
      <c r="N146" s="32">
        <f t="shared" si="84"/>
        <v>45.153239999999997</v>
      </c>
      <c r="O146" s="35"/>
      <c r="P146" s="3"/>
    </row>
    <row r="147" spans="1:16" s="4" customFormat="1" x14ac:dyDescent="0.25">
      <c r="A147" s="34">
        <f>IF(I147&lt;&gt;"",1+MAX($A$40:A146),"")</f>
        <v>85</v>
      </c>
      <c r="B147" s="26"/>
      <c r="C147" s="26"/>
      <c r="D147" s="27"/>
      <c r="E147" s="101" t="s">
        <v>126</v>
      </c>
      <c r="F147" s="122">
        <v>8.1278195488721803</v>
      </c>
      <c r="G147" s="36">
        <v>0.1</v>
      </c>
      <c r="H147" s="29">
        <f t="shared" si="81"/>
        <v>8.9406015037593995</v>
      </c>
      <c r="I147" s="39" t="s">
        <v>79</v>
      </c>
      <c r="J147" s="31">
        <f>1.34*6.66</f>
        <v>8.9244000000000003</v>
      </c>
      <c r="K147" s="31">
        <f>1.39*6.66</f>
        <v>9.2573999999999987</v>
      </c>
      <c r="L147" s="32">
        <f t="shared" si="82"/>
        <v>79.789504060150392</v>
      </c>
      <c r="M147" s="32">
        <f t="shared" si="83"/>
        <v>82.766724360902259</v>
      </c>
      <c r="N147" s="32">
        <f t="shared" si="84"/>
        <v>162.55622842105265</v>
      </c>
      <c r="O147" s="35"/>
      <c r="P147" s="3"/>
    </row>
    <row r="148" spans="1:16" s="4" customFormat="1" x14ac:dyDescent="0.25">
      <c r="A148" s="34">
        <f>IF(I148&lt;&gt;"",1+MAX($A$40:A147),"")</f>
        <v>86</v>
      </c>
      <c r="B148" s="26"/>
      <c r="C148" s="26"/>
      <c r="D148" s="27"/>
      <c r="E148" s="101" t="s">
        <v>127</v>
      </c>
      <c r="F148" s="122">
        <v>4.74</v>
      </c>
      <c r="G148" s="36">
        <v>0.1</v>
      </c>
      <c r="H148" s="29">
        <f t="shared" si="81"/>
        <v>5.2140000000000004</v>
      </c>
      <c r="I148" s="39" t="s">
        <v>82</v>
      </c>
      <c r="J148" s="31">
        <f>0.89*32</f>
        <v>28.48</v>
      </c>
      <c r="K148" s="31">
        <f>1.92*32</f>
        <v>61.44</v>
      </c>
      <c r="L148" s="32">
        <f t="shared" si="82"/>
        <v>148.49472</v>
      </c>
      <c r="M148" s="32">
        <f t="shared" si="83"/>
        <v>320.34816000000001</v>
      </c>
      <c r="N148" s="32">
        <f t="shared" si="84"/>
        <v>468.84288000000004</v>
      </c>
      <c r="O148" s="35"/>
      <c r="P148" s="3"/>
    </row>
    <row r="149" spans="1:16" s="4" customFormat="1" x14ac:dyDescent="0.25">
      <c r="A149" s="34">
        <f>IF(I149&lt;&gt;"",1+MAX($A$40:A148),"")</f>
        <v>87</v>
      </c>
      <c r="B149" s="26"/>
      <c r="C149" s="26"/>
      <c r="D149" s="27"/>
      <c r="E149" s="101" t="s">
        <v>94</v>
      </c>
      <c r="F149" s="122">
        <v>18.96</v>
      </c>
      <c r="G149" s="36">
        <v>0.1</v>
      </c>
      <c r="H149" s="29">
        <f t="shared" si="81"/>
        <v>20.856000000000002</v>
      </c>
      <c r="I149" s="39" t="s">
        <v>80</v>
      </c>
      <c r="J149" s="31">
        <v>0.22</v>
      </c>
      <c r="K149" s="31">
        <v>0.74749999999999994</v>
      </c>
      <c r="L149" s="32">
        <f t="shared" si="82"/>
        <v>4.5883200000000004</v>
      </c>
      <c r="M149" s="32">
        <f t="shared" si="83"/>
        <v>15.58986</v>
      </c>
      <c r="N149" s="32">
        <f t="shared" si="84"/>
        <v>20.178180000000001</v>
      </c>
      <c r="O149" s="35"/>
      <c r="P149" s="3"/>
    </row>
    <row r="150" spans="1:16" s="4" customFormat="1" x14ac:dyDescent="0.25">
      <c r="A150" s="34" t="str">
        <f>IF(I150&lt;&gt;"",1+MAX($A$40:A149),"")</f>
        <v/>
      </c>
      <c r="B150" s="26"/>
      <c r="C150" s="26"/>
      <c r="D150" s="27"/>
      <c r="E150" s="100" t="s">
        <v>128</v>
      </c>
      <c r="F150" s="122"/>
      <c r="G150" s="99"/>
      <c r="H150" s="99"/>
      <c r="I150" s="39"/>
      <c r="J150" s="31"/>
      <c r="K150" s="31"/>
      <c r="L150" s="32"/>
      <c r="M150" s="32"/>
      <c r="N150" s="32"/>
      <c r="O150" s="35"/>
      <c r="P150" s="3"/>
    </row>
    <row r="151" spans="1:16" s="4" customFormat="1" x14ac:dyDescent="0.25">
      <c r="A151" s="34">
        <f>IF(I151&lt;&gt;"",1+MAX($A$40:A150),"")</f>
        <v>88</v>
      </c>
      <c r="B151" s="26"/>
      <c r="C151" s="26"/>
      <c r="D151" s="27"/>
      <c r="E151" s="101" t="s">
        <v>101</v>
      </c>
      <c r="F151" s="122">
        <v>3.5931250000000001</v>
      </c>
      <c r="G151" s="36">
        <v>0.1</v>
      </c>
      <c r="H151" s="29">
        <f t="shared" ref="H151:H156" si="85">IF(F151=0,"",F151*(1+G151))</f>
        <v>3.9524375000000003</v>
      </c>
      <c r="I151" s="39" t="s">
        <v>79</v>
      </c>
      <c r="J151" s="31">
        <f>2.03*16</f>
        <v>32.479999999999997</v>
      </c>
      <c r="K151" s="31">
        <v>36.799999999999997</v>
      </c>
      <c r="L151" s="32">
        <f t="shared" ref="L151:L156" si="86">IF(F151=0,"",J151*H151)</f>
        <v>128.37517</v>
      </c>
      <c r="M151" s="32">
        <f t="shared" ref="M151:M156" si="87">IF(F151=0,"",K151*H151)</f>
        <v>145.44970000000001</v>
      </c>
      <c r="N151" s="32">
        <f t="shared" ref="N151:N156" si="88">IF(F151=0,"",L151+M151)</f>
        <v>273.82487000000003</v>
      </c>
      <c r="O151" s="35"/>
      <c r="P151" s="3"/>
    </row>
    <row r="152" spans="1:16" s="4" customFormat="1" x14ac:dyDescent="0.25">
      <c r="A152" s="34">
        <f>IF(I152&lt;&gt;"",1+MAX($A$40:A151),"")</f>
        <v>89</v>
      </c>
      <c r="B152" s="26"/>
      <c r="C152" s="26"/>
      <c r="D152" s="27"/>
      <c r="E152" s="101" t="s">
        <v>97</v>
      </c>
      <c r="F152" s="122">
        <v>3.5931250000000001</v>
      </c>
      <c r="G152" s="36">
        <v>0.1</v>
      </c>
      <c r="H152" s="29">
        <f t="shared" si="85"/>
        <v>3.9524375000000003</v>
      </c>
      <c r="I152" s="39" t="s">
        <v>79</v>
      </c>
      <c r="J152" s="31">
        <f>2.03*16</f>
        <v>32.479999999999997</v>
      </c>
      <c r="K152" s="31">
        <v>36.799999999999997</v>
      </c>
      <c r="L152" s="32">
        <f t="shared" si="86"/>
        <v>128.37517</v>
      </c>
      <c r="M152" s="32">
        <f t="shared" si="87"/>
        <v>145.44970000000001</v>
      </c>
      <c r="N152" s="32">
        <f t="shared" si="88"/>
        <v>273.82487000000003</v>
      </c>
      <c r="O152" s="35"/>
      <c r="P152" s="3"/>
    </row>
    <row r="153" spans="1:16" s="4" customFormat="1" x14ac:dyDescent="0.25">
      <c r="A153" s="34">
        <f>IF(I153&lt;&gt;"",1+MAX($A$40:A152),"")</f>
        <v>90</v>
      </c>
      <c r="B153" s="26"/>
      <c r="C153" s="26"/>
      <c r="D153" s="27"/>
      <c r="E153" s="101" t="s">
        <v>123</v>
      </c>
      <c r="F153" s="122">
        <v>44.225563909774436</v>
      </c>
      <c r="G153" s="36">
        <v>0.1</v>
      </c>
      <c r="H153" s="29">
        <f t="shared" si="85"/>
        <v>48.648120300751884</v>
      </c>
      <c r="I153" s="39" t="s">
        <v>79</v>
      </c>
      <c r="J153" s="31">
        <f>1.34*16</f>
        <v>21.44</v>
      </c>
      <c r="K153" s="31">
        <f>1.39*16</f>
        <v>22.24</v>
      </c>
      <c r="L153" s="32">
        <f t="shared" si="86"/>
        <v>1043.0156992481204</v>
      </c>
      <c r="M153" s="32">
        <f t="shared" si="87"/>
        <v>1081.9341954887218</v>
      </c>
      <c r="N153" s="32">
        <f t="shared" si="88"/>
        <v>2124.949894736842</v>
      </c>
      <c r="O153" s="35"/>
      <c r="P153" s="3"/>
    </row>
    <row r="154" spans="1:16" s="4" customFormat="1" x14ac:dyDescent="0.25">
      <c r="A154" s="34">
        <f>IF(I154&lt;&gt;"",1+MAX($A$40:A153),"")</f>
        <v>91</v>
      </c>
      <c r="B154" s="26"/>
      <c r="C154" s="26"/>
      <c r="D154" s="27"/>
      <c r="E154" s="101" t="s">
        <v>129</v>
      </c>
      <c r="F154" s="122">
        <v>57.49</v>
      </c>
      <c r="G154" s="36">
        <v>0.1</v>
      </c>
      <c r="H154" s="29">
        <f t="shared" si="85"/>
        <v>63.239000000000004</v>
      </c>
      <c r="I154" s="39" t="s">
        <v>82</v>
      </c>
      <c r="J154" s="31">
        <f>0.89*32</f>
        <v>28.48</v>
      </c>
      <c r="K154" s="31">
        <f>1.92*32</f>
        <v>61.44</v>
      </c>
      <c r="L154" s="32">
        <f t="shared" si="86"/>
        <v>1801.0467200000001</v>
      </c>
      <c r="M154" s="32">
        <f t="shared" si="87"/>
        <v>3885.40416</v>
      </c>
      <c r="N154" s="32">
        <f t="shared" si="88"/>
        <v>5686.4508800000003</v>
      </c>
      <c r="O154" s="35"/>
      <c r="P154" s="3"/>
    </row>
    <row r="155" spans="1:16" s="4" customFormat="1" x14ac:dyDescent="0.25">
      <c r="A155" s="34">
        <f>IF(I155&lt;&gt;"",1+MAX($A$40:A154),"")</f>
        <v>92</v>
      </c>
      <c r="B155" s="26"/>
      <c r="C155" s="26"/>
      <c r="D155" s="27"/>
      <c r="E155" s="101" t="s">
        <v>121</v>
      </c>
      <c r="F155" s="122">
        <v>919.84</v>
      </c>
      <c r="G155" s="36">
        <v>0.1</v>
      </c>
      <c r="H155" s="29">
        <f t="shared" si="85"/>
        <v>1011.8240000000001</v>
      </c>
      <c r="I155" s="39" t="s">
        <v>81</v>
      </c>
      <c r="J155" s="31">
        <v>1.85</v>
      </c>
      <c r="K155" s="31">
        <v>0.94</v>
      </c>
      <c r="L155" s="32">
        <f t="shared" si="86"/>
        <v>1871.8744000000002</v>
      </c>
      <c r="M155" s="32">
        <f t="shared" si="87"/>
        <v>951.11455999999998</v>
      </c>
      <c r="N155" s="32">
        <f t="shared" si="88"/>
        <v>2822.9889600000001</v>
      </c>
      <c r="O155" s="35"/>
      <c r="P155" s="3"/>
    </row>
    <row r="156" spans="1:16" s="4" customFormat="1" x14ac:dyDescent="0.25">
      <c r="A156" s="34">
        <f>IF(I156&lt;&gt;"",1+MAX($A$40:A155),"")</f>
        <v>93</v>
      </c>
      <c r="B156" s="26"/>
      <c r="C156" s="26"/>
      <c r="D156" s="27"/>
      <c r="E156" s="101" t="s">
        <v>94</v>
      </c>
      <c r="F156" s="122">
        <v>229.96</v>
      </c>
      <c r="G156" s="36">
        <v>0.1</v>
      </c>
      <c r="H156" s="29">
        <f t="shared" si="85"/>
        <v>252.95600000000002</v>
      </c>
      <c r="I156" s="39" t="s">
        <v>80</v>
      </c>
      <c r="J156" s="31">
        <v>0.22</v>
      </c>
      <c r="K156" s="31">
        <v>0.74749999999999994</v>
      </c>
      <c r="L156" s="32">
        <f t="shared" si="86"/>
        <v>55.650320000000001</v>
      </c>
      <c r="M156" s="32">
        <f t="shared" si="87"/>
        <v>189.08461</v>
      </c>
      <c r="N156" s="32">
        <f t="shared" si="88"/>
        <v>244.73492999999999</v>
      </c>
      <c r="O156" s="35"/>
      <c r="P156" s="3"/>
    </row>
    <row r="157" spans="1:16" s="4" customFormat="1" x14ac:dyDescent="0.25">
      <c r="A157" s="34" t="str">
        <f>IF(I157&lt;&gt;"",1+MAX($A$40:A156),"")</f>
        <v/>
      </c>
      <c r="B157" s="26"/>
      <c r="C157" s="26"/>
      <c r="D157" s="27"/>
      <c r="E157" s="100" t="s">
        <v>130</v>
      </c>
      <c r="F157" s="122"/>
      <c r="G157" s="99"/>
      <c r="H157" s="99"/>
      <c r="I157" s="39"/>
      <c r="J157" s="31"/>
      <c r="K157" s="31"/>
      <c r="L157" s="32"/>
      <c r="M157" s="32"/>
      <c r="N157" s="32"/>
      <c r="O157" s="35"/>
      <c r="P157" s="3"/>
    </row>
    <row r="158" spans="1:16" s="4" customFormat="1" x14ac:dyDescent="0.25">
      <c r="A158" s="34">
        <f>IF(I158&lt;&gt;"",1+MAX($A$40:A157),"")</f>
        <v>94</v>
      </c>
      <c r="B158" s="26"/>
      <c r="C158" s="26"/>
      <c r="D158" s="27"/>
      <c r="E158" s="101" t="s">
        <v>114</v>
      </c>
      <c r="F158" s="122">
        <v>1.0006250000000001</v>
      </c>
      <c r="G158" s="36">
        <v>0.1</v>
      </c>
      <c r="H158" s="29">
        <f t="shared" ref="H158:H162" si="89">IF(F158=0,"",F158*(1+G158))</f>
        <v>1.1006875000000003</v>
      </c>
      <c r="I158" s="39" t="s">
        <v>79</v>
      </c>
      <c r="J158" s="31">
        <f>2.03*16</f>
        <v>32.479999999999997</v>
      </c>
      <c r="K158" s="31">
        <v>36.799999999999997</v>
      </c>
      <c r="L158" s="32">
        <f t="shared" ref="L158:L162" si="90">IF(F158=0,"",J158*H158)</f>
        <v>35.750330000000005</v>
      </c>
      <c r="M158" s="32">
        <f t="shared" ref="M158:M162" si="91">IF(F158=0,"",K158*H158)</f>
        <v>40.505300000000005</v>
      </c>
      <c r="N158" s="32">
        <f t="shared" ref="N158:N162" si="92">IF(F158=0,"",L158+M158)</f>
        <v>76.255630000000011</v>
      </c>
      <c r="O158" s="35"/>
      <c r="P158" s="3"/>
    </row>
    <row r="159" spans="1:16" s="4" customFormat="1" x14ac:dyDescent="0.25">
      <c r="A159" s="34">
        <f>IF(I159&lt;&gt;"",1+MAX($A$40:A158),"")</f>
        <v>95</v>
      </c>
      <c r="B159" s="26"/>
      <c r="C159" s="26"/>
      <c r="D159" s="27"/>
      <c r="E159" s="101" t="s">
        <v>97</v>
      </c>
      <c r="F159" s="122">
        <v>1.0006250000000001</v>
      </c>
      <c r="G159" s="36">
        <v>0.1</v>
      </c>
      <c r="H159" s="29">
        <f t="shared" si="89"/>
        <v>1.1006875000000003</v>
      </c>
      <c r="I159" s="39" t="s">
        <v>79</v>
      </c>
      <c r="J159" s="31">
        <f>2.03*16</f>
        <v>32.479999999999997</v>
      </c>
      <c r="K159" s="31">
        <v>36.799999999999997</v>
      </c>
      <c r="L159" s="32">
        <f t="shared" si="90"/>
        <v>35.750330000000005</v>
      </c>
      <c r="M159" s="32">
        <f t="shared" si="91"/>
        <v>40.505300000000005</v>
      </c>
      <c r="N159" s="32">
        <f t="shared" si="92"/>
        <v>76.255630000000011</v>
      </c>
      <c r="O159" s="35"/>
      <c r="P159" s="3"/>
    </row>
    <row r="160" spans="1:16" s="4" customFormat="1" x14ac:dyDescent="0.25">
      <c r="A160" s="34">
        <f>IF(I160&lt;&gt;"",1+MAX($A$40:A159),"")</f>
        <v>96</v>
      </c>
      <c r="B160" s="26"/>
      <c r="C160" s="26"/>
      <c r="D160" s="27"/>
      <c r="E160" s="101" t="s">
        <v>131</v>
      </c>
      <c r="F160" s="122">
        <v>13.037593984962406</v>
      </c>
      <c r="G160" s="36">
        <v>0.1</v>
      </c>
      <c r="H160" s="29">
        <f t="shared" si="89"/>
        <v>14.341353383458648</v>
      </c>
      <c r="I160" s="39" t="s">
        <v>79</v>
      </c>
      <c r="J160" s="31">
        <f>1.34*8</f>
        <v>10.72</v>
      </c>
      <c r="K160" s="31">
        <f>1.39*8</f>
        <v>11.12</v>
      </c>
      <c r="L160" s="32">
        <f t="shared" si="90"/>
        <v>153.7393082706767</v>
      </c>
      <c r="M160" s="32">
        <f t="shared" si="91"/>
        <v>159.47584962406015</v>
      </c>
      <c r="N160" s="32">
        <f t="shared" si="92"/>
        <v>313.21515789473688</v>
      </c>
      <c r="O160" s="35"/>
      <c r="P160" s="3"/>
    </row>
    <row r="161" spans="1:16" s="4" customFormat="1" x14ac:dyDescent="0.25">
      <c r="A161" s="34">
        <f>IF(I161&lt;&gt;"",1+MAX($A$40:A160),"")</f>
        <v>97</v>
      </c>
      <c r="B161" s="26"/>
      <c r="C161" s="26"/>
      <c r="D161" s="27"/>
      <c r="E161" s="101" t="s">
        <v>132</v>
      </c>
      <c r="F161" s="122">
        <v>8.0050000000000008</v>
      </c>
      <c r="G161" s="36">
        <v>0.1</v>
      </c>
      <c r="H161" s="29">
        <f t="shared" si="89"/>
        <v>8.8055000000000021</v>
      </c>
      <c r="I161" s="39" t="s">
        <v>82</v>
      </c>
      <c r="J161" s="31">
        <f>0.89*32</f>
        <v>28.48</v>
      </c>
      <c r="K161" s="31">
        <f>1.92*32</f>
        <v>61.44</v>
      </c>
      <c r="L161" s="32">
        <f t="shared" si="90"/>
        <v>250.78064000000006</v>
      </c>
      <c r="M161" s="32">
        <f t="shared" si="91"/>
        <v>541.00992000000008</v>
      </c>
      <c r="N161" s="32">
        <f t="shared" si="92"/>
        <v>791.79056000000014</v>
      </c>
      <c r="O161" s="35"/>
      <c r="P161" s="3"/>
    </row>
    <row r="162" spans="1:16" s="4" customFormat="1" x14ac:dyDescent="0.25">
      <c r="A162" s="34">
        <f>IF(I162&lt;&gt;"",1+MAX($A$40:A161),"")</f>
        <v>98</v>
      </c>
      <c r="B162" s="26"/>
      <c r="C162" s="26"/>
      <c r="D162" s="27"/>
      <c r="E162" s="101" t="s">
        <v>94</v>
      </c>
      <c r="F162" s="122">
        <v>64.040000000000006</v>
      </c>
      <c r="G162" s="36">
        <v>0.1</v>
      </c>
      <c r="H162" s="29">
        <f t="shared" si="89"/>
        <v>70.444000000000017</v>
      </c>
      <c r="I162" s="39" t="s">
        <v>80</v>
      </c>
      <c r="J162" s="31">
        <v>0.22</v>
      </c>
      <c r="K162" s="31">
        <v>0.74749999999999994</v>
      </c>
      <c r="L162" s="32">
        <f t="shared" si="90"/>
        <v>15.497680000000004</v>
      </c>
      <c r="M162" s="32">
        <f t="shared" si="91"/>
        <v>52.656890000000011</v>
      </c>
      <c r="N162" s="32">
        <f t="shared" si="92"/>
        <v>68.154570000000021</v>
      </c>
      <c r="O162" s="35"/>
      <c r="P162" s="3"/>
    </row>
    <row r="163" spans="1:16" s="4" customFormat="1" x14ac:dyDescent="0.25">
      <c r="A163" s="34" t="str">
        <f>IF(I163&lt;&gt;"",1+MAX($A$40:A162),"")</f>
        <v/>
      </c>
      <c r="B163" s="26"/>
      <c r="C163" s="26"/>
      <c r="D163" s="27"/>
      <c r="E163" s="100" t="s">
        <v>133</v>
      </c>
      <c r="F163" s="122"/>
      <c r="G163" s="99"/>
      <c r="H163" s="99"/>
      <c r="I163" s="39"/>
      <c r="J163" s="31"/>
      <c r="K163" s="31"/>
      <c r="L163" s="32"/>
      <c r="M163" s="32"/>
      <c r="N163" s="32"/>
      <c r="O163" s="35"/>
      <c r="P163" s="3"/>
    </row>
    <row r="164" spans="1:16" s="4" customFormat="1" x14ac:dyDescent="0.25">
      <c r="A164" s="34">
        <f>IF(I164&lt;&gt;"",1+MAX($A$40:A163),"")</f>
        <v>99</v>
      </c>
      <c r="B164" s="26"/>
      <c r="C164" s="26"/>
      <c r="D164" s="27"/>
      <c r="E164" s="101" t="s">
        <v>114</v>
      </c>
      <c r="F164" s="122">
        <v>2.1875</v>
      </c>
      <c r="G164" s="36">
        <v>0.1</v>
      </c>
      <c r="H164" s="29">
        <f t="shared" ref="H164:H168" si="93">IF(F164=0,"",F164*(1+G164))</f>
        <v>2.40625</v>
      </c>
      <c r="I164" s="39" t="s">
        <v>79</v>
      </c>
      <c r="J164" s="31">
        <f>2.03*16</f>
        <v>32.479999999999997</v>
      </c>
      <c r="K164" s="31">
        <v>36.799999999999997</v>
      </c>
      <c r="L164" s="32">
        <f t="shared" ref="L164:L168" si="94">IF(F164=0,"",J164*H164)</f>
        <v>78.154999999999987</v>
      </c>
      <c r="M164" s="32">
        <f t="shared" ref="M164:M168" si="95">IF(F164=0,"",K164*H164)</f>
        <v>88.55</v>
      </c>
      <c r="N164" s="32">
        <f t="shared" ref="N164:N168" si="96">IF(F164=0,"",L164+M164)</f>
        <v>166.70499999999998</v>
      </c>
      <c r="O164" s="35"/>
      <c r="P164" s="3"/>
    </row>
    <row r="165" spans="1:16" s="4" customFormat="1" x14ac:dyDescent="0.25">
      <c r="A165" s="34">
        <f>IF(I165&lt;&gt;"",1+MAX($A$40:A164),"")</f>
        <v>100</v>
      </c>
      <c r="B165" s="26"/>
      <c r="C165" s="26"/>
      <c r="D165" s="27"/>
      <c r="E165" s="101" t="s">
        <v>97</v>
      </c>
      <c r="F165" s="122">
        <v>2.1875</v>
      </c>
      <c r="G165" s="36">
        <v>0.1</v>
      </c>
      <c r="H165" s="29">
        <f t="shared" si="93"/>
        <v>2.40625</v>
      </c>
      <c r="I165" s="39" t="s">
        <v>79</v>
      </c>
      <c r="J165" s="31">
        <f>2.03*16</f>
        <v>32.479999999999997</v>
      </c>
      <c r="K165" s="31">
        <v>36.799999999999997</v>
      </c>
      <c r="L165" s="32">
        <f t="shared" si="94"/>
        <v>78.154999999999987</v>
      </c>
      <c r="M165" s="32">
        <f t="shared" si="95"/>
        <v>88.55</v>
      </c>
      <c r="N165" s="32">
        <f t="shared" si="96"/>
        <v>166.70499999999998</v>
      </c>
      <c r="O165" s="35"/>
      <c r="P165" s="3"/>
    </row>
    <row r="166" spans="1:16" s="4" customFormat="1" x14ac:dyDescent="0.25">
      <c r="A166" s="34">
        <f>IF(I166&lt;&gt;"",1+MAX($A$40:A165),"")</f>
        <v>101</v>
      </c>
      <c r="B166" s="26"/>
      <c r="C166" s="26"/>
      <c r="D166" s="27"/>
      <c r="E166" s="101" t="s">
        <v>134</v>
      </c>
      <c r="F166" s="122">
        <v>27.315789473684209</v>
      </c>
      <c r="G166" s="36">
        <v>0.1</v>
      </c>
      <c r="H166" s="29">
        <f t="shared" si="93"/>
        <v>30.047368421052632</v>
      </c>
      <c r="I166" s="39" t="s">
        <v>79</v>
      </c>
      <c r="J166" s="31">
        <f>1.34*4</f>
        <v>5.36</v>
      </c>
      <c r="K166" s="31">
        <f>1.39*4</f>
        <v>5.56</v>
      </c>
      <c r="L166" s="32">
        <f t="shared" si="94"/>
        <v>161.05389473684212</v>
      </c>
      <c r="M166" s="32">
        <f t="shared" si="95"/>
        <v>167.06336842105262</v>
      </c>
      <c r="N166" s="32">
        <f t="shared" si="96"/>
        <v>328.11726315789474</v>
      </c>
      <c r="O166" s="35"/>
      <c r="P166" s="3"/>
    </row>
    <row r="167" spans="1:16" s="4" customFormat="1" x14ac:dyDescent="0.25">
      <c r="A167" s="34">
        <f>IF(I167&lt;&gt;"",1+MAX($A$40:A166),"")</f>
        <v>102</v>
      </c>
      <c r="B167" s="26"/>
      <c r="C167" s="26"/>
      <c r="D167" s="27"/>
      <c r="E167" s="101" t="s">
        <v>135</v>
      </c>
      <c r="F167" s="122">
        <v>9.84375</v>
      </c>
      <c r="G167" s="36">
        <v>0.1</v>
      </c>
      <c r="H167" s="29">
        <f t="shared" si="93"/>
        <v>10.828125</v>
      </c>
      <c r="I167" s="39" t="s">
        <v>82</v>
      </c>
      <c r="J167" s="31">
        <f>0.89*32</f>
        <v>28.48</v>
      </c>
      <c r="K167" s="31">
        <f>1.92*32</f>
        <v>61.44</v>
      </c>
      <c r="L167" s="32">
        <f t="shared" si="94"/>
        <v>308.38499999999999</v>
      </c>
      <c r="M167" s="32">
        <f t="shared" si="95"/>
        <v>665.28</v>
      </c>
      <c r="N167" s="32">
        <f t="shared" si="96"/>
        <v>973.66499999999996</v>
      </c>
      <c r="O167" s="35"/>
      <c r="P167" s="3"/>
    </row>
    <row r="168" spans="1:16" s="4" customFormat="1" x14ac:dyDescent="0.25">
      <c r="A168" s="34">
        <f>IF(I168&lt;&gt;"",1+MAX($A$40:A167),"")</f>
        <v>103</v>
      </c>
      <c r="B168" s="26"/>
      <c r="C168" s="26"/>
      <c r="D168" s="27"/>
      <c r="E168" s="101" t="s">
        <v>94</v>
      </c>
      <c r="F168" s="122">
        <v>140</v>
      </c>
      <c r="G168" s="36">
        <v>0.1</v>
      </c>
      <c r="H168" s="29">
        <f t="shared" si="93"/>
        <v>154</v>
      </c>
      <c r="I168" s="39" t="s">
        <v>80</v>
      </c>
      <c r="J168" s="31">
        <v>0.22</v>
      </c>
      <c r="K168" s="31">
        <v>0.74749999999999994</v>
      </c>
      <c r="L168" s="32">
        <f t="shared" si="94"/>
        <v>33.880000000000003</v>
      </c>
      <c r="M168" s="32">
        <f t="shared" si="95"/>
        <v>115.11499999999999</v>
      </c>
      <c r="N168" s="32">
        <f t="shared" si="96"/>
        <v>148.995</v>
      </c>
      <c r="O168" s="35"/>
      <c r="P168" s="3"/>
    </row>
    <row r="169" spans="1:16" s="4" customFormat="1" x14ac:dyDescent="0.25">
      <c r="A169" s="34" t="str">
        <f>IF(I169&lt;&gt;"",1+MAX($A$40:A168),"")</f>
        <v/>
      </c>
      <c r="B169" s="26"/>
      <c r="C169" s="26"/>
      <c r="D169" s="27"/>
      <c r="E169" s="100" t="s">
        <v>136</v>
      </c>
      <c r="F169" s="122"/>
      <c r="G169" s="99"/>
      <c r="H169" s="99"/>
      <c r="I169" s="39"/>
      <c r="J169" s="31"/>
      <c r="K169" s="31"/>
      <c r="L169" s="32"/>
      <c r="M169" s="32"/>
      <c r="N169" s="32"/>
      <c r="O169" s="35"/>
      <c r="P169" s="3"/>
    </row>
    <row r="170" spans="1:16" s="4" customFormat="1" x14ac:dyDescent="0.25">
      <c r="A170" s="34">
        <f>IF(I170&lt;&gt;"",1+MAX($A$40:A169),"")</f>
        <v>104</v>
      </c>
      <c r="B170" s="26"/>
      <c r="C170" s="26"/>
      <c r="D170" s="27"/>
      <c r="E170" s="101" t="s">
        <v>114</v>
      </c>
      <c r="F170" s="122">
        <v>5.5762499999999999</v>
      </c>
      <c r="G170" s="36">
        <v>0.1</v>
      </c>
      <c r="H170" s="29">
        <f t="shared" ref="H170:H174" si="97">IF(F170=0,"",F170*(1+G170))</f>
        <v>6.1338750000000006</v>
      </c>
      <c r="I170" s="39" t="s">
        <v>79</v>
      </c>
      <c r="J170" s="31">
        <f>2.03*16</f>
        <v>32.479999999999997</v>
      </c>
      <c r="K170" s="31">
        <v>36.799999999999997</v>
      </c>
      <c r="L170" s="32">
        <f t="shared" ref="L170:L174" si="98">IF(F170=0,"",J170*H170)</f>
        <v>199.22826000000001</v>
      </c>
      <c r="M170" s="32">
        <f t="shared" ref="M170:M174" si="99">IF(F170=0,"",K170*H170)</f>
        <v>225.72660000000002</v>
      </c>
      <c r="N170" s="32">
        <f t="shared" ref="N170:N174" si="100">IF(F170=0,"",L170+M170)</f>
        <v>424.95486000000005</v>
      </c>
      <c r="O170" s="35"/>
      <c r="P170" s="3"/>
    </row>
    <row r="171" spans="1:16" s="4" customFormat="1" x14ac:dyDescent="0.25">
      <c r="A171" s="34">
        <f>IF(I171&lt;&gt;"",1+MAX($A$40:A170),"")</f>
        <v>105</v>
      </c>
      <c r="B171" s="26"/>
      <c r="C171" s="26"/>
      <c r="D171" s="27"/>
      <c r="E171" s="101" t="s">
        <v>97</v>
      </c>
      <c r="F171" s="122">
        <v>5.5762499999999999</v>
      </c>
      <c r="G171" s="36">
        <v>0.1</v>
      </c>
      <c r="H171" s="29">
        <f t="shared" si="97"/>
        <v>6.1338750000000006</v>
      </c>
      <c r="I171" s="39" t="s">
        <v>79</v>
      </c>
      <c r="J171" s="31">
        <f>2.03*16</f>
        <v>32.479999999999997</v>
      </c>
      <c r="K171" s="31">
        <v>36.799999999999997</v>
      </c>
      <c r="L171" s="32">
        <f t="shared" si="98"/>
        <v>199.22826000000001</v>
      </c>
      <c r="M171" s="32">
        <f t="shared" si="99"/>
        <v>225.72660000000002</v>
      </c>
      <c r="N171" s="32">
        <f t="shared" si="100"/>
        <v>424.95486000000005</v>
      </c>
      <c r="O171" s="35"/>
      <c r="P171" s="3"/>
    </row>
    <row r="172" spans="1:16" s="4" customFormat="1" x14ac:dyDescent="0.25">
      <c r="A172" s="34">
        <f>IF(I172&lt;&gt;"",1+MAX($A$40:A171),"")</f>
        <v>106</v>
      </c>
      <c r="B172" s="26"/>
      <c r="C172" s="26"/>
      <c r="D172" s="27"/>
      <c r="E172" s="101" t="s">
        <v>137</v>
      </c>
      <c r="F172" s="122">
        <v>68.082706766917283</v>
      </c>
      <c r="G172" s="36">
        <v>0.1</v>
      </c>
      <c r="H172" s="29">
        <f t="shared" si="97"/>
        <v>74.890977443609017</v>
      </c>
      <c r="I172" s="39" t="s">
        <v>79</v>
      </c>
      <c r="J172" s="31">
        <f>1.34*5</f>
        <v>6.7</v>
      </c>
      <c r="K172" s="31">
        <f>1.39*5</f>
        <v>6.9499999999999993</v>
      </c>
      <c r="L172" s="32">
        <f t="shared" si="98"/>
        <v>501.76954887218045</v>
      </c>
      <c r="M172" s="32">
        <f t="shared" si="99"/>
        <v>520.49229323308259</v>
      </c>
      <c r="N172" s="32">
        <f t="shared" si="100"/>
        <v>1022.261842105263</v>
      </c>
      <c r="O172" s="35"/>
      <c r="P172" s="3"/>
    </row>
    <row r="173" spans="1:16" s="4" customFormat="1" x14ac:dyDescent="0.25">
      <c r="A173" s="34">
        <f>IF(I173&lt;&gt;"",1+MAX($A$40:A172),"")</f>
        <v>107</v>
      </c>
      <c r="B173" s="26"/>
      <c r="C173" s="26"/>
      <c r="D173" s="27"/>
      <c r="E173" s="101" t="s">
        <v>138</v>
      </c>
      <c r="F173" s="122">
        <v>27.881250000000001</v>
      </c>
      <c r="G173" s="36">
        <v>0.1</v>
      </c>
      <c r="H173" s="29">
        <f t="shared" si="97"/>
        <v>30.669375000000002</v>
      </c>
      <c r="I173" s="39" t="s">
        <v>82</v>
      </c>
      <c r="J173" s="31">
        <f>0.89*32</f>
        <v>28.48</v>
      </c>
      <c r="K173" s="31">
        <f>1.92*32</f>
        <v>61.44</v>
      </c>
      <c r="L173" s="32">
        <f t="shared" si="98"/>
        <v>873.46380000000011</v>
      </c>
      <c r="M173" s="32">
        <f t="shared" si="99"/>
        <v>1884.3264000000001</v>
      </c>
      <c r="N173" s="32">
        <f t="shared" si="100"/>
        <v>2757.7902000000004</v>
      </c>
      <c r="O173" s="35"/>
      <c r="P173" s="3"/>
    </row>
    <row r="174" spans="1:16" s="4" customFormat="1" x14ac:dyDescent="0.25">
      <c r="A174" s="34">
        <f>IF(I174&lt;&gt;"",1+MAX($A$40:A173),"")</f>
        <v>108</v>
      </c>
      <c r="B174" s="26"/>
      <c r="C174" s="26"/>
      <c r="D174" s="27"/>
      <c r="E174" s="101" t="s">
        <v>94</v>
      </c>
      <c r="F174" s="122">
        <v>356.88</v>
      </c>
      <c r="G174" s="36">
        <v>0.1</v>
      </c>
      <c r="H174" s="29">
        <f t="shared" si="97"/>
        <v>392.56800000000004</v>
      </c>
      <c r="I174" s="39" t="s">
        <v>80</v>
      </c>
      <c r="J174" s="31">
        <v>0.22</v>
      </c>
      <c r="K174" s="31">
        <v>0.74749999999999994</v>
      </c>
      <c r="L174" s="32">
        <f t="shared" si="98"/>
        <v>86.364960000000011</v>
      </c>
      <c r="M174" s="32">
        <f t="shared" si="99"/>
        <v>293.44458000000003</v>
      </c>
      <c r="N174" s="32">
        <f t="shared" si="100"/>
        <v>379.80954000000003</v>
      </c>
      <c r="O174" s="35"/>
      <c r="P174" s="3"/>
    </row>
    <row r="175" spans="1:16" s="4" customFormat="1" x14ac:dyDescent="0.25">
      <c r="A175" s="34" t="str">
        <f>IF(I175&lt;&gt;"",1+MAX($A$40:A174),"")</f>
        <v/>
      </c>
      <c r="B175" s="26"/>
      <c r="C175" s="26"/>
      <c r="D175" s="27"/>
      <c r="E175" s="100" t="s">
        <v>139</v>
      </c>
      <c r="F175" s="122"/>
      <c r="G175" s="99"/>
      <c r="H175" s="99"/>
      <c r="I175" s="39"/>
      <c r="J175" s="31"/>
      <c r="K175" s="31"/>
      <c r="L175" s="32"/>
      <c r="M175" s="32"/>
      <c r="N175" s="32"/>
      <c r="O175" s="35"/>
      <c r="P175" s="3"/>
    </row>
    <row r="176" spans="1:16" s="4" customFormat="1" x14ac:dyDescent="0.25">
      <c r="A176" s="34">
        <f>IF(I176&lt;&gt;"",1+MAX($A$40:A175),"")</f>
        <v>109</v>
      </c>
      <c r="B176" s="26"/>
      <c r="C176" s="26"/>
      <c r="D176" s="27"/>
      <c r="E176" s="102" t="s">
        <v>140</v>
      </c>
      <c r="F176" s="122">
        <v>11.258749999999999</v>
      </c>
      <c r="G176" s="36">
        <v>0.1</v>
      </c>
      <c r="H176" s="29">
        <f t="shared" ref="H176:H181" si="101">IF(F176=0,"",F176*(1+G176))</f>
        <v>12.384625</v>
      </c>
      <c r="I176" s="39" t="s">
        <v>79</v>
      </c>
      <c r="J176" s="31">
        <f>2.28*16</f>
        <v>36.479999999999997</v>
      </c>
      <c r="K176" s="31">
        <v>41.4</v>
      </c>
      <c r="L176" s="32">
        <f t="shared" ref="L176:L181" si="102">IF(F176=0,"",J176*H176)</f>
        <v>451.79111999999998</v>
      </c>
      <c r="M176" s="32">
        <f t="shared" ref="M176:M181" si="103">IF(F176=0,"",K176*H176)</f>
        <v>512.72347500000001</v>
      </c>
      <c r="N176" s="32">
        <f t="shared" ref="N176:N181" si="104">IF(F176=0,"",L176+M176)</f>
        <v>964.51459499999999</v>
      </c>
      <c r="O176" s="35"/>
      <c r="P176" s="3"/>
    </row>
    <row r="177" spans="1:16" s="4" customFormat="1" x14ac:dyDescent="0.25">
      <c r="A177" s="34">
        <f>IF(I177&lt;&gt;"",1+MAX($A$40:A176),"")</f>
        <v>110</v>
      </c>
      <c r="B177" s="26"/>
      <c r="C177" s="26"/>
      <c r="D177" s="27"/>
      <c r="E177" s="101" t="s">
        <v>141</v>
      </c>
      <c r="F177" s="122">
        <v>11.258749999999999</v>
      </c>
      <c r="G177" s="36">
        <v>0.1</v>
      </c>
      <c r="H177" s="29">
        <f t="shared" si="101"/>
        <v>12.384625</v>
      </c>
      <c r="I177" s="39" t="s">
        <v>79</v>
      </c>
      <c r="J177" s="31">
        <f>2.28*16</f>
        <v>36.479999999999997</v>
      </c>
      <c r="K177" s="31">
        <v>41.4</v>
      </c>
      <c r="L177" s="32">
        <f t="shared" si="102"/>
        <v>451.79111999999998</v>
      </c>
      <c r="M177" s="32">
        <f t="shared" si="103"/>
        <v>512.72347500000001</v>
      </c>
      <c r="N177" s="32">
        <f t="shared" si="104"/>
        <v>964.51459499999999</v>
      </c>
      <c r="O177" s="35"/>
      <c r="P177" s="3"/>
    </row>
    <row r="178" spans="1:16" s="4" customFormat="1" x14ac:dyDescent="0.25">
      <c r="A178" s="34">
        <f>IF(I178&lt;&gt;"",1+MAX($A$40:A177),"")</f>
        <v>111</v>
      </c>
      <c r="B178" s="26"/>
      <c r="C178" s="26"/>
      <c r="D178" s="27"/>
      <c r="E178" s="101" t="s">
        <v>142</v>
      </c>
      <c r="F178" s="122">
        <v>136.44360902255639</v>
      </c>
      <c r="G178" s="36">
        <v>0.1</v>
      </c>
      <c r="H178" s="29">
        <f t="shared" si="101"/>
        <v>150.08796992481203</v>
      </c>
      <c r="I178" s="39" t="s">
        <v>79</v>
      </c>
      <c r="J178" s="31">
        <f>1.52*30.66</f>
        <v>46.603200000000001</v>
      </c>
      <c r="K178" s="31">
        <f>1.57*30.66</f>
        <v>48.136200000000002</v>
      </c>
      <c r="L178" s="32">
        <f t="shared" si="102"/>
        <v>6994.5796799999998</v>
      </c>
      <c r="M178" s="32">
        <f t="shared" si="103"/>
        <v>7224.6645378947369</v>
      </c>
      <c r="N178" s="32">
        <f t="shared" si="104"/>
        <v>14219.244217894737</v>
      </c>
      <c r="O178" s="35"/>
      <c r="P178" s="3"/>
    </row>
    <row r="179" spans="1:16" s="4" customFormat="1" x14ac:dyDescent="0.25">
      <c r="A179" s="34">
        <f>IF(I179&lt;&gt;"",1+MAX($A$40:A178),"")</f>
        <v>112</v>
      </c>
      <c r="B179" s="26"/>
      <c r="C179" s="26"/>
      <c r="D179" s="27"/>
      <c r="E179" s="101" t="s">
        <v>143</v>
      </c>
      <c r="F179" s="122">
        <v>332.95539325842697</v>
      </c>
      <c r="G179" s="36">
        <v>0.1</v>
      </c>
      <c r="H179" s="29">
        <f t="shared" si="101"/>
        <v>366.25093258426972</v>
      </c>
      <c r="I179" s="39" t="s">
        <v>79</v>
      </c>
      <c r="J179" s="31">
        <f>4.95*5</f>
        <v>24.75</v>
      </c>
      <c r="K179" s="31">
        <f>2.28*5</f>
        <v>11.399999999999999</v>
      </c>
      <c r="L179" s="32">
        <f t="shared" si="102"/>
        <v>9064.7105814606748</v>
      </c>
      <c r="M179" s="32">
        <f t="shared" si="103"/>
        <v>4175.2606314606746</v>
      </c>
      <c r="N179" s="32">
        <f t="shared" si="104"/>
        <v>13239.971212921349</v>
      </c>
      <c r="O179" s="35"/>
      <c r="P179" s="3"/>
    </row>
    <row r="180" spans="1:16" s="4" customFormat="1" x14ac:dyDescent="0.25">
      <c r="A180" s="34">
        <f>IF(I180&lt;&gt;"",1+MAX($A$40:A179),"")</f>
        <v>113</v>
      </c>
      <c r="B180" s="26"/>
      <c r="C180" s="26"/>
      <c r="D180" s="27"/>
      <c r="E180" s="101" t="s">
        <v>144</v>
      </c>
      <c r="F180" s="122">
        <v>276.24468999999999</v>
      </c>
      <c r="G180" s="36">
        <v>0.1</v>
      </c>
      <c r="H180" s="29">
        <f t="shared" si="101"/>
        <v>303.86915900000002</v>
      </c>
      <c r="I180" s="39" t="s">
        <v>82</v>
      </c>
      <c r="J180" s="31">
        <f>0.89*40</f>
        <v>35.6</v>
      </c>
      <c r="K180" s="31">
        <f>1.86*40</f>
        <v>74.400000000000006</v>
      </c>
      <c r="L180" s="32">
        <f t="shared" si="102"/>
        <v>10817.742060400002</v>
      </c>
      <c r="M180" s="32">
        <f t="shared" si="103"/>
        <v>22607.865429600002</v>
      </c>
      <c r="N180" s="32">
        <f t="shared" si="104"/>
        <v>33425.607490000002</v>
      </c>
      <c r="O180" s="35"/>
      <c r="P180" s="3"/>
    </row>
    <row r="181" spans="1:16" s="4" customFormat="1" x14ac:dyDescent="0.25">
      <c r="A181" s="34">
        <f>IF(I181&lt;&gt;"",1+MAX($A$40:A180),"")</f>
        <v>114</v>
      </c>
      <c r="B181" s="26"/>
      <c r="C181" s="26"/>
      <c r="D181" s="27"/>
      <c r="E181" s="101" t="s">
        <v>94</v>
      </c>
      <c r="F181" s="122">
        <v>720.56</v>
      </c>
      <c r="G181" s="36">
        <v>0.1</v>
      </c>
      <c r="H181" s="29">
        <f t="shared" si="101"/>
        <v>792.61599999999999</v>
      </c>
      <c r="I181" s="39" t="s">
        <v>80</v>
      </c>
      <c r="J181" s="31">
        <v>0.22</v>
      </c>
      <c r="K181" s="31">
        <v>0.74749999999999994</v>
      </c>
      <c r="L181" s="32">
        <f t="shared" si="102"/>
        <v>174.37551999999999</v>
      </c>
      <c r="M181" s="32">
        <f t="shared" si="103"/>
        <v>592.48045999999999</v>
      </c>
      <c r="N181" s="32">
        <f t="shared" si="104"/>
        <v>766.85598000000005</v>
      </c>
      <c r="O181" s="35"/>
      <c r="P181" s="3"/>
    </row>
    <row r="182" spans="1:16" s="4" customFormat="1" x14ac:dyDescent="0.25">
      <c r="A182" s="34" t="str">
        <f>IF(I182&lt;&gt;"",1+MAX($A$40:A181),"")</f>
        <v/>
      </c>
      <c r="B182" s="26"/>
      <c r="C182" s="26"/>
      <c r="D182" s="27"/>
      <c r="E182" s="100" t="s">
        <v>145</v>
      </c>
      <c r="F182" s="122"/>
      <c r="G182" s="99"/>
      <c r="H182" s="99"/>
      <c r="I182" s="39"/>
      <c r="J182" s="31"/>
      <c r="K182" s="31"/>
      <c r="L182" s="32"/>
      <c r="M182" s="32"/>
      <c r="N182" s="32"/>
      <c r="O182" s="35"/>
      <c r="P182" s="3"/>
    </row>
    <row r="183" spans="1:16" s="4" customFormat="1" x14ac:dyDescent="0.25">
      <c r="A183" s="34">
        <f>IF(I183&lt;&gt;"",1+MAX($A$40:A182),"")</f>
        <v>115</v>
      </c>
      <c r="B183" s="26"/>
      <c r="C183" s="26"/>
      <c r="D183" s="27"/>
      <c r="E183" s="102" t="s">
        <v>140</v>
      </c>
      <c r="F183" s="122">
        <v>11.63</v>
      </c>
      <c r="G183" s="36">
        <v>0.1</v>
      </c>
      <c r="H183" s="29">
        <f t="shared" ref="H183:H190" si="105">IF(F183=0,"",F183*(1+G183))</f>
        <v>12.793000000000001</v>
      </c>
      <c r="I183" s="39" t="s">
        <v>79</v>
      </c>
      <c r="J183" s="31">
        <f>2.28*16</f>
        <v>36.479999999999997</v>
      </c>
      <c r="K183" s="31">
        <v>41.4</v>
      </c>
      <c r="L183" s="32">
        <f t="shared" ref="L183:L190" si="106">IF(F183=0,"",J183*H183)</f>
        <v>466.68864000000002</v>
      </c>
      <c r="M183" s="32">
        <f t="shared" ref="M183:M190" si="107">IF(F183=0,"",K183*H183)</f>
        <v>529.63020000000006</v>
      </c>
      <c r="N183" s="32">
        <f t="shared" ref="N183:N190" si="108">IF(F183=0,"",L183+M183)</f>
        <v>996.31884000000014</v>
      </c>
      <c r="O183" s="35"/>
      <c r="P183" s="3"/>
    </row>
    <row r="184" spans="1:16" s="4" customFormat="1" x14ac:dyDescent="0.25">
      <c r="A184" s="34">
        <f>IF(I184&lt;&gt;"",1+MAX($A$40:A183),"")</f>
        <v>116</v>
      </c>
      <c r="B184" s="26"/>
      <c r="C184" s="26"/>
      <c r="D184" s="27"/>
      <c r="E184" s="101" t="s">
        <v>141</v>
      </c>
      <c r="F184" s="122">
        <v>11.63</v>
      </c>
      <c r="G184" s="36">
        <v>0.1</v>
      </c>
      <c r="H184" s="29">
        <f t="shared" si="105"/>
        <v>12.793000000000001</v>
      </c>
      <c r="I184" s="39" t="s">
        <v>79</v>
      </c>
      <c r="J184" s="31">
        <f>2.28*16</f>
        <v>36.479999999999997</v>
      </c>
      <c r="K184" s="31">
        <v>41.4</v>
      </c>
      <c r="L184" s="32">
        <f t="shared" si="106"/>
        <v>466.68864000000002</v>
      </c>
      <c r="M184" s="32">
        <f t="shared" si="107"/>
        <v>529.63020000000006</v>
      </c>
      <c r="N184" s="32">
        <f t="shared" si="108"/>
        <v>996.31884000000014</v>
      </c>
      <c r="O184" s="35"/>
      <c r="P184" s="3"/>
    </row>
    <row r="185" spans="1:16" s="4" customFormat="1" x14ac:dyDescent="0.25">
      <c r="A185" s="34">
        <f>IF(I185&lt;&gt;"",1+MAX($A$40:A184),"")</f>
        <v>117</v>
      </c>
      <c r="B185" s="26"/>
      <c r="C185" s="26"/>
      <c r="D185" s="27"/>
      <c r="E185" s="101" t="s">
        <v>142</v>
      </c>
      <c r="F185" s="122">
        <v>140.90977443609023</v>
      </c>
      <c r="G185" s="36">
        <v>0.1</v>
      </c>
      <c r="H185" s="29">
        <f t="shared" si="105"/>
        <v>155.00075187969927</v>
      </c>
      <c r="I185" s="39" t="s">
        <v>79</v>
      </c>
      <c r="J185" s="31">
        <f>1.52*30.66</f>
        <v>46.603200000000001</v>
      </c>
      <c r="K185" s="31">
        <f>1.57*30.66</f>
        <v>48.136200000000002</v>
      </c>
      <c r="L185" s="32">
        <f t="shared" si="106"/>
        <v>7223.5310400000008</v>
      </c>
      <c r="M185" s="32">
        <f t="shared" si="107"/>
        <v>7461.1471926315799</v>
      </c>
      <c r="N185" s="32">
        <f t="shared" si="108"/>
        <v>14684.678232631581</v>
      </c>
      <c r="O185" s="35"/>
      <c r="P185" s="3"/>
    </row>
    <row r="186" spans="1:16" s="4" customFormat="1" x14ac:dyDescent="0.25">
      <c r="A186" s="34">
        <f>IF(I186&lt;&gt;"",1+MAX($A$40:A185),"")</f>
        <v>118</v>
      </c>
      <c r="B186" s="26"/>
      <c r="C186" s="26"/>
      <c r="D186" s="27"/>
      <c r="E186" s="101" t="s">
        <v>143</v>
      </c>
      <c r="F186" s="122">
        <v>343.93438202247188</v>
      </c>
      <c r="G186" s="36">
        <v>0.1</v>
      </c>
      <c r="H186" s="29">
        <f t="shared" si="105"/>
        <v>378.32782022471912</v>
      </c>
      <c r="I186" s="39" t="s">
        <v>79</v>
      </c>
      <c r="J186" s="31">
        <f>4.95*5</f>
        <v>24.75</v>
      </c>
      <c r="K186" s="31">
        <f>2.28*5</f>
        <v>11.399999999999999</v>
      </c>
      <c r="L186" s="32">
        <f t="shared" si="106"/>
        <v>9363.6135505617985</v>
      </c>
      <c r="M186" s="32">
        <f t="shared" si="107"/>
        <v>4312.9371505617974</v>
      </c>
      <c r="N186" s="32">
        <f t="shared" si="108"/>
        <v>13676.550701123597</v>
      </c>
      <c r="O186" s="35"/>
      <c r="P186" s="3"/>
    </row>
    <row r="187" spans="1:16" s="4" customFormat="1" x14ac:dyDescent="0.25">
      <c r="A187" s="34">
        <f>IF(I187&lt;&gt;"",1+MAX($A$40:A186),"")</f>
        <v>119</v>
      </c>
      <c r="B187" s="26"/>
      <c r="C187" s="26"/>
      <c r="D187" s="27"/>
      <c r="E187" s="101" t="s">
        <v>146</v>
      </c>
      <c r="F187" s="122">
        <v>174.24436000000003</v>
      </c>
      <c r="G187" s="36">
        <v>0.1</v>
      </c>
      <c r="H187" s="29">
        <f t="shared" si="105"/>
        <v>191.66879600000004</v>
      </c>
      <c r="I187" s="39" t="s">
        <v>82</v>
      </c>
      <c r="J187" s="31">
        <f>0.89*40</f>
        <v>35.6</v>
      </c>
      <c r="K187" s="31">
        <f>1.86*40</f>
        <v>74.400000000000006</v>
      </c>
      <c r="L187" s="32">
        <f t="shared" si="106"/>
        <v>6823.4091376000015</v>
      </c>
      <c r="M187" s="32">
        <f t="shared" si="107"/>
        <v>14260.158422400003</v>
      </c>
      <c r="N187" s="32">
        <f t="shared" si="108"/>
        <v>21083.567560000003</v>
      </c>
      <c r="O187" s="35"/>
      <c r="P187" s="3"/>
    </row>
    <row r="188" spans="1:16" s="4" customFormat="1" x14ac:dyDescent="0.25">
      <c r="A188" s="34">
        <f>IF(I188&lt;&gt;"",1+MAX($A$40:A187),"")</f>
        <v>120</v>
      </c>
      <c r="B188" s="26"/>
      <c r="C188" s="26"/>
      <c r="D188" s="27"/>
      <c r="E188" s="101" t="s">
        <v>147</v>
      </c>
      <c r="F188" s="122">
        <v>17.324999999999999</v>
      </c>
      <c r="G188" s="36">
        <v>0.1</v>
      </c>
      <c r="H188" s="29">
        <f t="shared" si="105"/>
        <v>19.057500000000001</v>
      </c>
      <c r="I188" s="39" t="s">
        <v>82</v>
      </c>
      <c r="J188" s="31">
        <f>0.94*40</f>
        <v>37.599999999999994</v>
      </c>
      <c r="K188" s="31">
        <f>1.98*40</f>
        <v>79.2</v>
      </c>
      <c r="L188" s="32">
        <f t="shared" si="106"/>
        <v>716.5619999999999</v>
      </c>
      <c r="M188" s="32">
        <f t="shared" si="107"/>
        <v>1509.354</v>
      </c>
      <c r="N188" s="32">
        <f t="shared" si="108"/>
        <v>2225.9160000000002</v>
      </c>
      <c r="O188" s="35"/>
      <c r="P188" s="3"/>
    </row>
    <row r="189" spans="1:16" s="4" customFormat="1" x14ac:dyDescent="0.25">
      <c r="A189" s="34">
        <f>IF(I189&lt;&gt;"",1+MAX($A$40:A188),"")</f>
        <v>121</v>
      </c>
      <c r="B189" s="26"/>
      <c r="C189" s="26"/>
      <c r="D189" s="27"/>
      <c r="E189" s="101" t="s">
        <v>148</v>
      </c>
      <c r="F189" s="122">
        <v>5707.0736000000006</v>
      </c>
      <c r="G189" s="36">
        <v>0.1</v>
      </c>
      <c r="H189" s="29">
        <f t="shared" si="105"/>
        <v>6277.780960000001</v>
      </c>
      <c r="I189" s="39" t="s">
        <v>81</v>
      </c>
      <c r="J189" s="31">
        <v>1.78</v>
      </c>
      <c r="K189" s="31">
        <v>0.9</v>
      </c>
      <c r="L189" s="32">
        <f t="shared" si="106"/>
        <v>11174.450108800002</v>
      </c>
      <c r="M189" s="32">
        <f t="shared" si="107"/>
        <v>5650.002864000001</v>
      </c>
      <c r="N189" s="32">
        <f t="shared" si="108"/>
        <v>16824.452972800002</v>
      </c>
      <c r="O189" s="35"/>
      <c r="P189" s="3"/>
    </row>
    <row r="190" spans="1:16" s="4" customFormat="1" x14ac:dyDescent="0.25">
      <c r="A190" s="34">
        <f>IF(I190&lt;&gt;"",1+MAX($A$40:A189),"")</f>
        <v>122</v>
      </c>
      <c r="B190" s="26"/>
      <c r="C190" s="26"/>
      <c r="D190" s="27"/>
      <c r="E190" s="101" t="s">
        <v>94</v>
      </c>
      <c r="F190" s="122">
        <v>744.32</v>
      </c>
      <c r="G190" s="36">
        <v>0.1</v>
      </c>
      <c r="H190" s="29">
        <f t="shared" si="105"/>
        <v>818.75200000000007</v>
      </c>
      <c r="I190" s="39" t="s">
        <v>80</v>
      </c>
      <c r="J190" s="31">
        <v>0.22</v>
      </c>
      <c r="K190" s="31">
        <v>0.74749999999999994</v>
      </c>
      <c r="L190" s="32">
        <f t="shared" si="106"/>
        <v>180.12544000000003</v>
      </c>
      <c r="M190" s="32">
        <f t="shared" si="107"/>
        <v>612.01711999999998</v>
      </c>
      <c r="N190" s="32">
        <f t="shared" si="108"/>
        <v>792.14256</v>
      </c>
      <c r="O190" s="35"/>
      <c r="P190" s="3"/>
    </row>
    <row r="191" spans="1:16" s="4" customFormat="1" x14ac:dyDescent="0.25">
      <c r="A191" s="34" t="str">
        <f>IF(I191&lt;&gt;"",1+MAX($A$40:A190),"")</f>
        <v/>
      </c>
      <c r="B191" s="26"/>
      <c r="C191" s="26"/>
      <c r="D191" s="27"/>
      <c r="E191" s="100" t="s">
        <v>149</v>
      </c>
      <c r="F191" s="122"/>
      <c r="G191" s="99"/>
      <c r="H191" s="99"/>
      <c r="I191" s="39"/>
      <c r="J191" s="31"/>
      <c r="K191" s="31"/>
      <c r="L191" s="32"/>
      <c r="M191" s="32"/>
      <c r="N191" s="32"/>
      <c r="O191" s="35"/>
      <c r="P191" s="3"/>
    </row>
    <row r="192" spans="1:16" s="4" customFormat="1" x14ac:dyDescent="0.25">
      <c r="A192" s="34">
        <f>IF(I192&lt;&gt;"",1+MAX($A$40:A191),"")</f>
        <v>123</v>
      </c>
      <c r="B192" s="26"/>
      <c r="C192" s="26"/>
      <c r="D192" s="27"/>
      <c r="E192" s="102" t="s">
        <v>140</v>
      </c>
      <c r="F192" s="122">
        <v>2.0343749999999998</v>
      </c>
      <c r="G192" s="36">
        <v>0.1</v>
      </c>
      <c r="H192" s="29">
        <f t="shared" ref="H192:H197" si="109">IF(F192=0,"",F192*(1+G192))</f>
        <v>2.2378125</v>
      </c>
      <c r="I192" s="39" t="s">
        <v>79</v>
      </c>
      <c r="J192" s="31">
        <f>2.28*16</f>
        <v>36.479999999999997</v>
      </c>
      <c r="K192" s="31">
        <v>41.4</v>
      </c>
      <c r="L192" s="32">
        <f t="shared" ref="L192:L197" si="110">IF(F192=0,"",J192*H192)</f>
        <v>81.63539999999999</v>
      </c>
      <c r="M192" s="32">
        <f t="shared" ref="M192:M197" si="111">IF(F192=0,"",K192*H192)</f>
        <v>92.6454375</v>
      </c>
      <c r="N192" s="32">
        <f t="shared" ref="N192:N197" si="112">IF(F192=0,"",L192+M192)</f>
        <v>174.28083749999999</v>
      </c>
      <c r="O192" s="35"/>
      <c r="P192" s="3"/>
    </row>
    <row r="193" spans="1:16" s="4" customFormat="1" x14ac:dyDescent="0.25">
      <c r="A193" s="34">
        <f>IF(I193&lt;&gt;"",1+MAX($A$40:A192),"")</f>
        <v>124</v>
      </c>
      <c r="B193" s="26"/>
      <c r="C193" s="26"/>
      <c r="D193" s="27"/>
      <c r="E193" s="101" t="s">
        <v>141</v>
      </c>
      <c r="F193" s="122">
        <v>2.0343749999999998</v>
      </c>
      <c r="G193" s="36">
        <v>0.1</v>
      </c>
      <c r="H193" s="29">
        <f t="shared" si="109"/>
        <v>2.2378125</v>
      </c>
      <c r="I193" s="39" t="s">
        <v>79</v>
      </c>
      <c r="J193" s="31">
        <f>2.28*16</f>
        <v>36.479999999999997</v>
      </c>
      <c r="K193" s="31">
        <v>41.4</v>
      </c>
      <c r="L193" s="32">
        <f t="shared" si="110"/>
        <v>81.63539999999999</v>
      </c>
      <c r="M193" s="32">
        <f t="shared" si="111"/>
        <v>92.6454375</v>
      </c>
      <c r="N193" s="32">
        <f t="shared" si="112"/>
        <v>174.28083749999999</v>
      </c>
      <c r="O193" s="35"/>
      <c r="P193" s="3"/>
    </row>
    <row r="194" spans="1:16" s="4" customFormat="1" x14ac:dyDescent="0.25">
      <c r="A194" s="34">
        <f>IF(I194&lt;&gt;"",1+MAX($A$40:A193),"")</f>
        <v>125</v>
      </c>
      <c r="B194" s="26"/>
      <c r="C194" s="26"/>
      <c r="D194" s="27"/>
      <c r="E194" s="101" t="s">
        <v>142</v>
      </c>
      <c r="F194" s="122">
        <v>25.473684210526311</v>
      </c>
      <c r="G194" s="36">
        <v>0.1</v>
      </c>
      <c r="H194" s="29">
        <f t="shared" si="109"/>
        <v>28.021052631578947</v>
      </c>
      <c r="I194" s="39" t="s">
        <v>79</v>
      </c>
      <c r="J194" s="31">
        <f>1.52*30.66</f>
        <v>46.603200000000001</v>
      </c>
      <c r="K194" s="31">
        <f>1.57*30.66</f>
        <v>48.136200000000002</v>
      </c>
      <c r="L194" s="32">
        <f t="shared" si="110"/>
        <v>1305.8707199999999</v>
      </c>
      <c r="M194" s="32">
        <f t="shared" si="111"/>
        <v>1348.8269936842105</v>
      </c>
      <c r="N194" s="32">
        <f t="shared" si="112"/>
        <v>2654.6977136842106</v>
      </c>
      <c r="O194" s="35"/>
      <c r="P194" s="3"/>
    </row>
    <row r="195" spans="1:16" s="4" customFormat="1" x14ac:dyDescent="0.25">
      <c r="A195" s="34">
        <f>IF(I195&lt;&gt;"",1+MAX($A$40:A194),"")</f>
        <v>126</v>
      </c>
      <c r="B195" s="26"/>
      <c r="C195" s="26"/>
      <c r="D195" s="27"/>
      <c r="E195" s="101" t="s">
        <v>150</v>
      </c>
      <c r="F195" s="122">
        <v>49.915424999999999</v>
      </c>
      <c r="G195" s="36">
        <v>0.1</v>
      </c>
      <c r="H195" s="29">
        <f t="shared" si="109"/>
        <v>54.9069675</v>
      </c>
      <c r="I195" s="39" t="s">
        <v>82</v>
      </c>
      <c r="J195" s="31">
        <f>0.94*40</f>
        <v>37.599999999999994</v>
      </c>
      <c r="K195" s="31">
        <f>1.98*40</f>
        <v>79.2</v>
      </c>
      <c r="L195" s="32">
        <f t="shared" si="110"/>
        <v>2064.5019779999998</v>
      </c>
      <c r="M195" s="32">
        <f t="shared" si="111"/>
        <v>4348.6318259999998</v>
      </c>
      <c r="N195" s="32">
        <f t="shared" si="112"/>
        <v>6413.1338039999991</v>
      </c>
      <c r="O195" s="35"/>
      <c r="P195" s="3"/>
    </row>
    <row r="196" spans="1:16" s="4" customFormat="1" x14ac:dyDescent="0.25">
      <c r="A196" s="34">
        <f>IF(I196&lt;&gt;"",1+MAX($A$40:A195),"")</f>
        <v>127</v>
      </c>
      <c r="B196" s="26"/>
      <c r="C196" s="26"/>
      <c r="D196" s="27"/>
      <c r="E196" s="101" t="s">
        <v>148</v>
      </c>
      <c r="F196" s="122">
        <v>998.30849999999998</v>
      </c>
      <c r="G196" s="36">
        <v>0.1</v>
      </c>
      <c r="H196" s="29">
        <f t="shared" si="109"/>
        <v>1098.1393500000001</v>
      </c>
      <c r="I196" s="39" t="s">
        <v>81</v>
      </c>
      <c r="J196" s="31">
        <v>1.78</v>
      </c>
      <c r="K196" s="31">
        <v>0.9</v>
      </c>
      <c r="L196" s="32">
        <f t="shared" si="110"/>
        <v>1954.6880430000003</v>
      </c>
      <c r="M196" s="32">
        <f t="shared" si="111"/>
        <v>988.32541500000013</v>
      </c>
      <c r="N196" s="32">
        <f t="shared" si="112"/>
        <v>2943.0134580000004</v>
      </c>
      <c r="O196" s="35"/>
      <c r="P196" s="3"/>
    </row>
    <row r="197" spans="1:16" s="4" customFormat="1" x14ac:dyDescent="0.25">
      <c r="A197" s="34">
        <f>IF(I197&lt;&gt;"",1+MAX($A$40:A196),"")</f>
        <v>128</v>
      </c>
      <c r="B197" s="26"/>
      <c r="C197" s="26"/>
      <c r="D197" s="27"/>
      <c r="E197" s="101" t="s">
        <v>94</v>
      </c>
      <c r="F197" s="122">
        <v>130.19999999999999</v>
      </c>
      <c r="G197" s="36">
        <v>0.1</v>
      </c>
      <c r="H197" s="29">
        <f t="shared" si="109"/>
        <v>143.22</v>
      </c>
      <c r="I197" s="39" t="s">
        <v>80</v>
      </c>
      <c r="J197" s="31">
        <v>0.22</v>
      </c>
      <c r="K197" s="31">
        <v>0.74749999999999994</v>
      </c>
      <c r="L197" s="32">
        <f t="shared" si="110"/>
        <v>31.508399999999998</v>
      </c>
      <c r="M197" s="32">
        <f t="shared" si="111"/>
        <v>107.05694999999999</v>
      </c>
      <c r="N197" s="32">
        <f t="shared" si="112"/>
        <v>138.56535</v>
      </c>
      <c r="O197" s="35"/>
      <c r="P197" s="3"/>
    </row>
    <row r="198" spans="1:16" s="4" customFormat="1" x14ac:dyDescent="0.25">
      <c r="A198" s="34" t="str">
        <f>IF(I198&lt;&gt;"",1+MAX($A$40:A197),"")</f>
        <v/>
      </c>
      <c r="B198" s="26"/>
      <c r="C198" s="26"/>
      <c r="D198" s="27"/>
      <c r="E198" s="100" t="s">
        <v>151</v>
      </c>
      <c r="F198" s="122"/>
      <c r="G198" s="99"/>
      <c r="H198" s="99"/>
      <c r="I198" s="39"/>
      <c r="J198" s="31"/>
      <c r="K198" s="31"/>
      <c r="L198" s="32"/>
      <c r="M198" s="32"/>
      <c r="N198" s="32"/>
      <c r="O198" s="35"/>
      <c r="P198" s="3"/>
    </row>
    <row r="199" spans="1:16" s="4" customFormat="1" x14ac:dyDescent="0.25">
      <c r="A199" s="34">
        <f>IF(I199&lt;&gt;"",1+MAX($A$40:A198),"")</f>
        <v>129</v>
      </c>
      <c r="B199" s="26"/>
      <c r="C199" s="26"/>
      <c r="D199" s="27"/>
      <c r="E199" s="102" t="s">
        <v>140</v>
      </c>
      <c r="F199" s="122">
        <v>6.6950000000000003</v>
      </c>
      <c r="G199" s="36">
        <v>0.1</v>
      </c>
      <c r="H199" s="29">
        <f t="shared" ref="H199:H204" si="113">IF(F199=0,"",F199*(1+G199))</f>
        <v>7.3645000000000005</v>
      </c>
      <c r="I199" s="39" t="s">
        <v>79</v>
      </c>
      <c r="J199" s="31">
        <f>2.28*16</f>
        <v>36.479999999999997</v>
      </c>
      <c r="K199" s="31">
        <v>41.4</v>
      </c>
      <c r="L199" s="32">
        <f t="shared" ref="L199:L204" si="114">IF(F199=0,"",J199*H199)</f>
        <v>268.65695999999997</v>
      </c>
      <c r="M199" s="32">
        <f t="shared" ref="M199:M204" si="115">IF(F199=0,"",K199*H199)</f>
        <v>304.89030000000002</v>
      </c>
      <c r="N199" s="32">
        <f t="shared" ref="N199:N204" si="116">IF(F199=0,"",L199+M199)</f>
        <v>573.54726000000005</v>
      </c>
      <c r="O199" s="35"/>
      <c r="P199" s="3"/>
    </row>
    <row r="200" spans="1:16" s="4" customFormat="1" x14ac:dyDescent="0.25">
      <c r="A200" s="34">
        <f>IF(I200&lt;&gt;"",1+MAX($A$40:A199),"")</f>
        <v>130</v>
      </c>
      <c r="B200" s="26"/>
      <c r="C200" s="26"/>
      <c r="D200" s="27"/>
      <c r="E200" s="101" t="s">
        <v>141</v>
      </c>
      <c r="F200" s="122">
        <v>6.6950000000000003</v>
      </c>
      <c r="G200" s="36">
        <v>0.1</v>
      </c>
      <c r="H200" s="29">
        <f t="shared" si="113"/>
        <v>7.3645000000000005</v>
      </c>
      <c r="I200" s="39" t="s">
        <v>79</v>
      </c>
      <c r="J200" s="31">
        <f>2.28*16</f>
        <v>36.479999999999997</v>
      </c>
      <c r="K200" s="31">
        <v>41.4</v>
      </c>
      <c r="L200" s="32">
        <f t="shared" si="114"/>
        <v>268.65695999999997</v>
      </c>
      <c r="M200" s="32">
        <f t="shared" si="115"/>
        <v>304.89030000000002</v>
      </c>
      <c r="N200" s="32">
        <f t="shared" si="116"/>
        <v>573.54726000000005</v>
      </c>
      <c r="O200" s="35"/>
      <c r="P200" s="3"/>
    </row>
    <row r="201" spans="1:16" s="4" customFormat="1" x14ac:dyDescent="0.25">
      <c r="A201" s="34">
        <f>IF(I201&lt;&gt;"",1+MAX($A$40:A200),"")</f>
        <v>131</v>
      </c>
      <c r="B201" s="26"/>
      <c r="C201" s="26"/>
      <c r="D201" s="27"/>
      <c r="E201" s="101" t="s">
        <v>142</v>
      </c>
      <c r="F201" s="122">
        <v>81.541353383458642</v>
      </c>
      <c r="G201" s="36">
        <v>0.1</v>
      </c>
      <c r="H201" s="29">
        <f t="shared" si="113"/>
        <v>89.695488721804509</v>
      </c>
      <c r="I201" s="39" t="s">
        <v>79</v>
      </c>
      <c r="J201" s="31">
        <f>1.52*30.66</f>
        <v>46.603200000000001</v>
      </c>
      <c r="K201" s="31">
        <f>1.57*30.66</f>
        <v>48.136200000000002</v>
      </c>
      <c r="L201" s="32">
        <f t="shared" si="114"/>
        <v>4180.0968000000003</v>
      </c>
      <c r="M201" s="32">
        <f t="shared" si="115"/>
        <v>4317.5999842105266</v>
      </c>
      <c r="N201" s="32">
        <f t="shared" si="116"/>
        <v>8497.6967842105259</v>
      </c>
      <c r="O201" s="35"/>
      <c r="P201" s="3"/>
    </row>
    <row r="202" spans="1:16" s="4" customFormat="1" x14ac:dyDescent="0.25">
      <c r="A202" s="34">
        <f>IF(I202&lt;&gt;"",1+MAX($A$40:A201),"")</f>
        <v>132</v>
      </c>
      <c r="B202" s="26"/>
      <c r="C202" s="26"/>
      <c r="D202" s="27"/>
      <c r="E202" s="101" t="s">
        <v>152</v>
      </c>
      <c r="F202" s="122">
        <v>164.26852000000002</v>
      </c>
      <c r="G202" s="36">
        <v>0.1</v>
      </c>
      <c r="H202" s="29">
        <f t="shared" si="113"/>
        <v>180.69537200000005</v>
      </c>
      <c r="I202" s="39" t="s">
        <v>82</v>
      </c>
      <c r="J202" s="31">
        <f>0.89*40</f>
        <v>35.6</v>
      </c>
      <c r="K202" s="31">
        <f>1.86*40</f>
        <v>74.400000000000006</v>
      </c>
      <c r="L202" s="32">
        <f t="shared" si="114"/>
        <v>6432.755243200002</v>
      </c>
      <c r="M202" s="32">
        <f t="shared" si="115"/>
        <v>13443.735676800005</v>
      </c>
      <c r="N202" s="32">
        <f t="shared" si="116"/>
        <v>19876.490920000007</v>
      </c>
      <c r="O202" s="35"/>
      <c r="P202" s="3"/>
    </row>
    <row r="203" spans="1:16" s="4" customFormat="1" x14ac:dyDescent="0.25">
      <c r="A203" s="34">
        <f>IF(I203&lt;&gt;"",1+MAX($A$40:A202),"")</f>
        <v>133</v>
      </c>
      <c r="B203" s="26"/>
      <c r="C203" s="26"/>
      <c r="D203" s="27"/>
      <c r="E203" s="101" t="s">
        <v>153</v>
      </c>
      <c r="F203" s="122">
        <v>59.216102499999998</v>
      </c>
      <c r="G203" s="36">
        <v>0.1</v>
      </c>
      <c r="H203" s="29">
        <f t="shared" si="113"/>
        <v>65.137712750000006</v>
      </c>
      <c r="I203" s="39" t="s">
        <v>82</v>
      </c>
      <c r="J203" s="31">
        <f>2.9*40</f>
        <v>116</v>
      </c>
      <c r="K203" s="31">
        <f>1.95*40</f>
        <v>78</v>
      </c>
      <c r="L203" s="32">
        <f t="shared" si="114"/>
        <v>7555.9746790000008</v>
      </c>
      <c r="M203" s="32">
        <f t="shared" si="115"/>
        <v>5080.7415945000002</v>
      </c>
      <c r="N203" s="32">
        <f t="shared" si="116"/>
        <v>12636.716273500002</v>
      </c>
      <c r="O203" s="35"/>
      <c r="P203" s="3"/>
    </row>
    <row r="204" spans="1:16" s="4" customFormat="1" x14ac:dyDescent="0.25">
      <c r="A204" s="34">
        <f>IF(I204&lt;&gt;"",1+MAX($A$40:A203),"")</f>
        <v>134</v>
      </c>
      <c r="B204" s="26"/>
      <c r="C204" s="26"/>
      <c r="D204" s="27"/>
      <c r="E204" s="101" t="s">
        <v>94</v>
      </c>
      <c r="F204" s="122">
        <v>428.48</v>
      </c>
      <c r="G204" s="36">
        <v>0.1</v>
      </c>
      <c r="H204" s="29">
        <f t="shared" si="113"/>
        <v>471.32800000000003</v>
      </c>
      <c r="I204" s="39" t="s">
        <v>80</v>
      </c>
      <c r="J204" s="31">
        <v>0.22</v>
      </c>
      <c r="K204" s="31">
        <v>0.74749999999999994</v>
      </c>
      <c r="L204" s="32">
        <f t="shared" si="114"/>
        <v>103.69216</v>
      </c>
      <c r="M204" s="32">
        <f t="shared" si="115"/>
        <v>352.31768</v>
      </c>
      <c r="N204" s="32">
        <f t="shared" si="116"/>
        <v>456.00984</v>
      </c>
      <c r="O204" s="35"/>
      <c r="P204" s="3"/>
    </row>
    <row r="205" spans="1:16" s="4" customFormat="1" x14ac:dyDescent="0.25">
      <c r="A205" s="34" t="str">
        <f>IF(I205&lt;&gt;"",1+MAX($A$40:A204),"")</f>
        <v/>
      </c>
      <c r="B205" s="26"/>
      <c r="C205" s="26"/>
      <c r="D205" s="27"/>
      <c r="E205" s="100" t="s">
        <v>154</v>
      </c>
      <c r="F205" s="122"/>
      <c r="G205" s="99"/>
      <c r="H205" s="99"/>
      <c r="I205" s="39"/>
      <c r="J205" s="31"/>
      <c r="K205" s="31"/>
      <c r="L205" s="32"/>
      <c r="M205" s="32"/>
      <c r="N205" s="32"/>
      <c r="O205" s="35"/>
      <c r="P205" s="3"/>
    </row>
    <row r="206" spans="1:16" s="4" customFormat="1" x14ac:dyDescent="0.25">
      <c r="A206" s="34">
        <f>IF(I206&lt;&gt;"",1+MAX($A$40:A205),"")</f>
        <v>135</v>
      </c>
      <c r="B206" s="26"/>
      <c r="C206" s="26"/>
      <c r="D206" s="27"/>
      <c r="E206" s="102" t="s">
        <v>140</v>
      </c>
      <c r="F206" s="122">
        <v>21.87</v>
      </c>
      <c r="G206" s="36">
        <v>0.1</v>
      </c>
      <c r="H206" s="29">
        <f t="shared" ref="H206:H212" si="117">IF(F206=0,"",F206*(1+G206))</f>
        <v>24.057000000000002</v>
      </c>
      <c r="I206" s="39" t="s">
        <v>79</v>
      </c>
      <c r="J206" s="31">
        <f>2.28*16</f>
        <v>36.479999999999997</v>
      </c>
      <c r="K206" s="31">
        <v>41.4</v>
      </c>
      <c r="L206" s="32">
        <f t="shared" ref="L206:L212" si="118">IF(F206=0,"",J206*H206)</f>
        <v>877.59936000000005</v>
      </c>
      <c r="M206" s="32">
        <f t="shared" ref="M206:M212" si="119">IF(F206=0,"",K206*H206)</f>
        <v>995.95980000000009</v>
      </c>
      <c r="N206" s="32">
        <f t="shared" ref="N206:N212" si="120">IF(F206=0,"",L206+M206)</f>
        <v>1873.5591600000002</v>
      </c>
      <c r="O206" s="35"/>
      <c r="P206" s="3"/>
    </row>
    <row r="207" spans="1:16" s="4" customFormat="1" x14ac:dyDescent="0.25">
      <c r="A207" s="34">
        <f>IF(I207&lt;&gt;"",1+MAX($A$40:A206),"")</f>
        <v>136</v>
      </c>
      <c r="B207" s="26"/>
      <c r="C207" s="26"/>
      <c r="D207" s="27"/>
      <c r="E207" s="101" t="s">
        <v>141</v>
      </c>
      <c r="F207" s="122">
        <v>21.87</v>
      </c>
      <c r="G207" s="36">
        <v>0.1</v>
      </c>
      <c r="H207" s="29">
        <f t="shared" si="117"/>
        <v>24.057000000000002</v>
      </c>
      <c r="I207" s="39" t="s">
        <v>79</v>
      </c>
      <c r="J207" s="31">
        <f>2.28*16</f>
        <v>36.479999999999997</v>
      </c>
      <c r="K207" s="31">
        <v>41.4</v>
      </c>
      <c r="L207" s="32">
        <f t="shared" si="118"/>
        <v>877.59936000000005</v>
      </c>
      <c r="M207" s="32">
        <f t="shared" si="119"/>
        <v>995.95980000000009</v>
      </c>
      <c r="N207" s="32">
        <f t="shared" si="120"/>
        <v>1873.5591600000002</v>
      </c>
      <c r="O207" s="35"/>
      <c r="P207" s="3"/>
    </row>
    <row r="208" spans="1:16" s="4" customFormat="1" x14ac:dyDescent="0.25">
      <c r="A208" s="34">
        <f>IF(I208&lt;&gt;"",1+MAX($A$40:A207),"")</f>
        <v>137</v>
      </c>
      <c r="B208" s="26"/>
      <c r="C208" s="26"/>
      <c r="D208" s="27"/>
      <c r="E208" s="101" t="s">
        <v>142</v>
      </c>
      <c r="F208" s="122">
        <v>264.09774436090225</v>
      </c>
      <c r="G208" s="36">
        <v>0.1</v>
      </c>
      <c r="H208" s="29">
        <f t="shared" si="117"/>
        <v>290.50751879699249</v>
      </c>
      <c r="I208" s="39" t="s">
        <v>79</v>
      </c>
      <c r="J208" s="31">
        <f>1.52*30.66</f>
        <v>46.603200000000001</v>
      </c>
      <c r="K208" s="31">
        <f>1.57*30.66</f>
        <v>48.136200000000002</v>
      </c>
      <c r="L208" s="32">
        <f t="shared" si="118"/>
        <v>13538.58</v>
      </c>
      <c r="M208" s="32">
        <f t="shared" si="119"/>
        <v>13983.928026315791</v>
      </c>
      <c r="N208" s="32">
        <f t="shared" si="120"/>
        <v>27522.508026315791</v>
      </c>
      <c r="O208" s="35"/>
      <c r="P208" s="3"/>
    </row>
    <row r="209" spans="1:16" s="4" customFormat="1" x14ac:dyDescent="0.25">
      <c r="A209" s="34">
        <f>IF(I209&lt;&gt;"",1+MAX($A$40:A208),"")</f>
        <v>138</v>
      </c>
      <c r="B209" s="26"/>
      <c r="C209" s="26"/>
      <c r="D209" s="27"/>
      <c r="E209" s="101" t="s">
        <v>143</v>
      </c>
      <c r="F209" s="122">
        <v>646.76224719101117</v>
      </c>
      <c r="G209" s="36">
        <v>0.1</v>
      </c>
      <c r="H209" s="29">
        <f t="shared" si="117"/>
        <v>711.4384719101123</v>
      </c>
      <c r="I209" s="39" t="s">
        <v>79</v>
      </c>
      <c r="J209" s="31">
        <f>4.95*5</f>
        <v>24.75</v>
      </c>
      <c r="K209" s="31">
        <f>2.28*5</f>
        <v>11.399999999999999</v>
      </c>
      <c r="L209" s="32">
        <f t="shared" si="118"/>
        <v>17608.10217977528</v>
      </c>
      <c r="M209" s="32">
        <f t="shared" si="119"/>
        <v>8110.3985797752794</v>
      </c>
      <c r="N209" s="32">
        <f t="shared" si="120"/>
        <v>25718.500759550559</v>
      </c>
      <c r="O209" s="35"/>
      <c r="P209" s="3"/>
    </row>
    <row r="210" spans="1:16" s="4" customFormat="1" x14ac:dyDescent="0.25">
      <c r="A210" s="34">
        <f>IF(I210&lt;&gt;"",1+MAX($A$40:A209),"")</f>
        <v>139</v>
      </c>
      <c r="B210" s="26"/>
      <c r="C210" s="26"/>
      <c r="D210" s="27"/>
      <c r="E210" s="101" t="s">
        <v>155</v>
      </c>
      <c r="F210" s="122">
        <v>268.30116000000004</v>
      </c>
      <c r="G210" s="36">
        <v>0.1</v>
      </c>
      <c r="H210" s="29">
        <f t="shared" si="117"/>
        <v>295.13127600000007</v>
      </c>
      <c r="I210" s="39" t="s">
        <v>82</v>
      </c>
      <c r="J210" s="31">
        <f>0.94*40</f>
        <v>37.599999999999994</v>
      </c>
      <c r="K210" s="31">
        <f>1.98*40</f>
        <v>79.2</v>
      </c>
      <c r="L210" s="32">
        <f t="shared" si="118"/>
        <v>11096.9359776</v>
      </c>
      <c r="M210" s="32">
        <f t="shared" si="119"/>
        <v>23374.397059200008</v>
      </c>
      <c r="N210" s="32">
        <f t="shared" si="120"/>
        <v>34471.33303680001</v>
      </c>
      <c r="O210" s="35"/>
      <c r="P210" s="3"/>
    </row>
    <row r="211" spans="1:16" s="4" customFormat="1" x14ac:dyDescent="0.25">
      <c r="A211" s="34">
        <f>IF(I211&lt;&gt;"",1+MAX($A$40:A210),"")</f>
        <v>140</v>
      </c>
      <c r="B211" s="26"/>
      <c r="C211" s="26"/>
      <c r="D211" s="27"/>
      <c r="E211" s="101" t="s">
        <v>148</v>
      </c>
      <c r="F211" s="122">
        <v>10732.046400000001</v>
      </c>
      <c r="G211" s="36">
        <v>0.1</v>
      </c>
      <c r="H211" s="29">
        <f t="shared" si="117"/>
        <v>11805.251040000003</v>
      </c>
      <c r="I211" s="39" t="s">
        <v>81</v>
      </c>
      <c r="J211" s="31">
        <v>1.78</v>
      </c>
      <c r="K211" s="31">
        <v>0.9</v>
      </c>
      <c r="L211" s="32">
        <f t="shared" si="118"/>
        <v>21013.346851200004</v>
      </c>
      <c r="M211" s="32">
        <f t="shared" si="119"/>
        <v>10624.725936000003</v>
      </c>
      <c r="N211" s="32">
        <f t="shared" si="120"/>
        <v>31638.072787200006</v>
      </c>
      <c r="O211" s="35"/>
      <c r="P211" s="3"/>
    </row>
    <row r="212" spans="1:16" s="4" customFormat="1" x14ac:dyDescent="0.25">
      <c r="A212" s="34">
        <f>IF(I212&lt;&gt;"",1+MAX($A$40:A211),"")</f>
        <v>141</v>
      </c>
      <c r="B212" s="26"/>
      <c r="C212" s="26"/>
      <c r="D212" s="27"/>
      <c r="E212" s="101" t="s">
        <v>94</v>
      </c>
      <c r="F212" s="122">
        <v>699.84</v>
      </c>
      <c r="G212" s="36">
        <v>0.1</v>
      </c>
      <c r="H212" s="29">
        <f t="shared" si="117"/>
        <v>769.82400000000007</v>
      </c>
      <c r="I212" s="39" t="s">
        <v>80</v>
      </c>
      <c r="J212" s="31">
        <v>0.22</v>
      </c>
      <c r="K212" s="31">
        <v>0.74749999999999994</v>
      </c>
      <c r="L212" s="32">
        <f t="shared" si="118"/>
        <v>169.36128000000002</v>
      </c>
      <c r="M212" s="32">
        <f t="shared" si="119"/>
        <v>575.44344000000001</v>
      </c>
      <c r="N212" s="32">
        <f t="shared" si="120"/>
        <v>744.80472000000009</v>
      </c>
      <c r="O212" s="35"/>
      <c r="P212" s="3"/>
    </row>
    <row r="213" spans="1:16" s="4" customFormat="1" x14ac:dyDescent="0.25">
      <c r="A213" s="34" t="str">
        <f>IF(I213&lt;&gt;"",1+MAX($A$40:A212),"")</f>
        <v/>
      </c>
      <c r="B213" s="26"/>
      <c r="C213" s="26"/>
      <c r="D213" s="27"/>
      <c r="E213" s="100" t="s">
        <v>156</v>
      </c>
      <c r="F213" s="122"/>
      <c r="G213" s="99"/>
      <c r="H213" s="99"/>
      <c r="I213" s="39"/>
      <c r="J213" s="31"/>
      <c r="K213" s="31"/>
      <c r="L213" s="32"/>
      <c r="M213" s="32"/>
      <c r="N213" s="32"/>
      <c r="O213" s="35"/>
      <c r="P213" s="3"/>
    </row>
    <row r="214" spans="1:16" s="4" customFormat="1" x14ac:dyDescent="0.25">
      <c r="A214" s="34">
        <f>IF(I214&lt;&gt;"",1+MAX($A$40:A213),"")</f>
        <v>142</v>
      </c>
      <c r="B214" s="26"/>
      <c r="C214" s="26"/>
      <c r="D214" s="27"/>
      <c r="E214" s="101" t="s">
        <v>157</v>
      </c>
      <c r="F214" s="122">
        <v>0.52312499999999995</v>
      </c>
      <c r="G214" s="36">
        <v>0.1</v>
      </c>
      <c r="H214" s="29">
        <f t="shared" ref="H214:H219" si="121">IF(F214=0,"",F214*(1+G214))</f>
        <v>0.57543750000000005</v>
      </c>
      <c r="I214" s="39" t="s">
        <v>79</v>
      </c>
      <c r="J214" s="31">
        <f>2.28*16</f>
        <v>36.479999999999997</v>
      </c>
      <c r="K214" s="31">
        <v>41.4</v>
      </c>
      <c r="L214" s="32">
        <f t="shared" ref="L214:L219" si="122">IF(F214=0,"",J214*H214)</f>
        <v>20.991959999999999</v>
      </c>
      <c r="M214" s="32">
        <f t="shared" ref="M214:M219" si="123">IF(F214=0,"",K214*H214)</f>
        <v>23.823112500000001</v>
      </c>
      <c r="N214" s="32">
        <f t="shared" ref="N214:N219" si="124">IF(F214=0,"",L214+M214)</f>
        <v>44.815072499999999</v>
      </c>
      <c r="O214" s="35"/>
      <c r="P214" s="3"/>
    </row>
    <row r="215" spans="1:16" s="4" customFormat="1" x14ac:dyDescent="0.25">
      <c r="A215" s="34">
        <f>IF(I215&lt;&gt;"",1+MAX($A$40:A214),"")</f>
        <v>143</v>
      </c>
      <c r="B215" s="26"/>
      <c r="C215" s="26"/>
      <c r="D215" s="27"/>
      <c r="E215" s="101" t="s">
        <v>141</v>
      </c>
      <c r="F215" s="122">
        <v>0.52312499999999995</v>
      </c>
      <c r="G215" s="36">
        <v>0.1</v>
      </c>
      <c r="H215" s="29">
        <f t="shared" si="121"/>
        <v>0.57543750000000005</v>
      </c>
      <c r="I215" s="39" t="s">
        <v>79</v>
      </c>
      <c r="J215" s="31">
        <f>2.28*16</f>
        <v>36.479999999999997</v>
      </c>
      <c r="K215" s="31">
        <v>41.4</v>
      </c>
      <c r="L215" s="32">
        <f t="shared" si="122"/>
        <v>20.991959999999999</v>
      </c>
      <c r="M215" s="32">
        <f t="shared" si="123"/>
        <v>23.823112500000001</v>
      </c>
      <c r="N215" s="32">
        <f t="shared" si="124"/>
        <v>44.815072499999999</v>
      </c>
      <c r="O215" s="35"/>
      <c r="P215" s="3"/>
    </row>
    <row r="216" spans="1:16" s="4" customFormat="1" x14ac:dyDescent="0.25">
      <c r="A216" s="34">
        <f>IF(I216&lt;&gt;"",1+MAX($A$40:A215),"")</f>
        <v>144</v>
      </c>
      <c r="B216" s="26"/>
      <c r="C216" s="26"/>
      <c r="D216" s="27"/>
      <c r="E216" s="101" t="s">
        <v>158</v>
      </c>
      <c r="F216" s="122">
        <v>7.2932330827067657</v>
      </c>
      <c r="G216" s="36">
        <v>0.1</v>
      </c>
      <c r="H216" s="29">
        <f t="shared" si="121"/>
        <v>8.0225563909774422</v>
      </c>
      <c r="I216" s="39" t="s">
        <v>79</v>
      </c>
      <c r="J216" s="31">
        <f>1.52*16.66</f>
        <v>25.3232</v>
      </c>
      <c r="K216" s="31">
        <f>1.57*16.66</f>
        <v>26.156200000000002</v>
      </c>
      <c r="L216" s="32">
        <f t="shared" si="122"/>
        <v>203.15679999999998</v>
      </c>
      <c r="M216" s="32">
        <f t="shared" si="123"/>
        <v>209.83958947368419</v>
      </c>
      <c r="N216" s="32">
        <f t="shared" si="124"/>
        <v>412.99638947368419</v>
      </c>
      <c r="O216" s="35"/>
      <c r="P216" s="3"/>
    </row>
    <row r="217" spans="1:16" s="4" customFormat="1" x14ac:dyDescent="0.25">
      <c r="A217" s="34">
        <f>IF(I217&lt;&gt;"",1+MAX($A$40:A216),"")</f>
        <v>145</v>
      </c>
      <c r="B217" s="26"/>
      <c r="C217" s="26"/>
      <c r="D217" s="27"/>
      <c r="E217" s="101" t="s">
        <v>159</v>
      </c>
      <c r="F217" s="122">
        <v>6.9763949999999992</v>
      </c>
      <c r="G217" s="36">
        <v>0.1</v>
      </c>
      <c r="H217" s="29">
        <f t="shared" si="121"/>
        <v>7.6740344999999994</v>
      </c>
      <c r="I217" s="39" t="s">
        <v>82</v>
      </c>
      <c r="J217" s="31">
        <f>0.94*40</f>
        <v>37.599999999999994</v>
      </c>
      <c r="K217" s="31">
        <f>1.98*40</f>
        <v>79.2</v>
      </c>
      <c r="L217" s="32">
        <f t="shared" si="122"/>
        <v>288.54369719999994</v>
      </c>
      <c r="M217" s="32">
        <f t="shared" si="123"/>
        <v>607.78353240000001</v>
      </c>
      <c r="N217" s="32">
        <f t="shared" si="124"/>
        <v>896.32722960000001</v>
      </c>
      <c r="O217" s="35"/>
      <c r="P217" s="3"/>
    </row>
    <row r="218" spans="1:16" s="4" customFormat="1" x14ac:dyDescent="0.25">
      <c r="A218" s="34">
        <f>IF(I218&lt;&gt;"",1+MAX($A$40:A217),"")</f>
        <v>146</v>
      </c>
      <c r="B218" s="26"/>
      <c r="C218" s="26"/>
      <c r="D218" s="27"/>
      <c r="E218" s="101" t="s">
        <v>148</v>
      </c>
      <c r="F218" s="122">
        <v>139.52789999999999</v>
      </c>
      <c r="G218" s="36">
        <v>0.1</v>
      </c>
      <c r="H218" s="29">
        <f t="shared" si="121"/>
        <v>153.48069000000001</v>
      </c>
      <c r="I218" s="39" t="s">
        <v>81</v>
      </c>
      <c r="J218" s="31">
        <v>1.78</v>
      </c>
      <c r="K218" s="31">
        <v>0.9</v>
      </c>
      <c r="L218" s="32">
        <f t="shared" si="122"/>
        <v>273.19562820000004</v>
      </c>
      <c r="M218" s="32">
        <f t="shared" si="123"/>
        <v>138.132621</v>
      </c>
      <c r="N218" s="32">
        <f t="shared" si="124"/>
        <v>411.32824920000007</v>
      </c>
      <c r="O218" s="35"/>
      <c r="P218" s="3"/>
    </row>
    <row r="219" spans="1:16" s="4" customFormat="1" x14ac:dyDescent="0.25">
      <c r="A219" s="34">
        <f>IF(I219&lt;&gt;"",1+MAX($A$40:A218),"")</f>
        <v>147</v>
      </c>
      <c r="B219" s="26"/>
      <c r="C219" s="26"/>
      <c r="D219" s="27"/>
      <c r="E219" s="101" t="s">
        <v>94</v>
      </c>
      <c r="F219" s="122">
        <v>33.479999999999997</v>
      </c>
      <c r="G219" s="36">
        <v>0.1</v>
      </c>
      <c r="H219" s="29">
        <f t="shared" si="121"/>
        <v>36.828000000000003</v>
      </c>
      <c r="I219" s="39" t="s">
        <v>80</v>
      </c>
      <c r="J219" s="31">
        <v>0.22</v>
      </c>
      <c r="K219" s="31">
        <v>0.74749999999999994</v>
      </c>
      <c r="L219" s="32">
        <f t="shared" si="122"/>
        <v>8.1021600000000014</v>
      </c>
      <c r="M219" s="32">
        <f t="shared" si="123"/>
        <v>27.528929999999999</v>
      </c>
      <c r="N219" s="32">
        <f t="shared" si="124"/>
        <v>35.63109</v>
      </c>
      <c r="O219" s="35"/>
      <c r="P219" s="3"/>
    </row>
    <row r="220" spans="1:16" s="4" customFormat="1" x14ac:dyDescent="0.25">
      <c r="A220" s="34" t="str">
        <f>IF(I220&lt;&gt;"",1+MAX($A$40:A219),"")</f>
        <v/>
      </c>
      <c r="B220" s="26"/>
      <c r="C220" s="26"/>
      <c r="D220" s="27"/>
      <c r="E220" s="100" t="s">
        <v>160</v>
      </c>
      <c r="F220" s="122"/>
      <c r="G220" s="99"/>
      <c r="H220" s="99"/>
      <c r="I220" s="39"/>
      <c r="J220" s="31"/>
      <c r="K220" s="31"/>
      <c r="L220" s="32"/>
      <c r="M220" s="32"/>
      <c r="N220" s="32"/>
      <c r="O220" s="35"/>
      <c r="P220" s="3"/>
    </row>
    <row r="221" spans="1:16" s="4" customFormat="1" x14ac:dyDescent="0.25">
      <c r="A221" s="34">
        <f>IF(I221&lt;&gt;"",1+MAX($A$40:A220),"")</f>
        <v>148</v>
      </c>
      <c r="B221" s="26"/>
      <c r="C221" s="26"/>
      <c r="D221" s="27"/>
      <c r="E221" s="101" t="s">
        <v>157</v>
      </c>
      <c r="F221" s="122">
        <v>2.62</v>
      </c>
      <c r="G221" s="36">
        <v>0.1</v>
      </c>
      <c r="H221" s="29">
        <f t="shared" ref="H221:H226" si="125">IF(F221=0,"",F221*(1+G221))</f>
        <v>2.8820000000000006</v>
      </c>
      <c r="I221" s="39" t="s">
        <v>79</v>
      </c>
      <c r="J221" s="31">
        <f>2.28*16</f>
        <v>36.479999999999997</v>
      </c>
      <c r="K221" s="31">
        <v>41.4</v>
      </c>
      <c r="L221" s="32">
        <f t="shared" ref="L221:L226" si="126">IF(F221=0,"",J221*H221)</f>
        <v>105.13536000000001</v>
      </c>
      <c r="M221" s="32">
        <f t="shared" ref="M221:M226" si="127">IF(F221=0,"",K221*H221)</f>
        <v>119.31480000000002</v>
      </c>
      <c r="N221" s="32">
        <f t="shared" ref="N221:N226" si="128">IF(F221=0,"",L221+M221)</f>
        <v>224.45016000000004</v>
      </c>
      <c r="O221" s="35"/>
      <c r="P221" s="3"/>
    </row>
    <row r="222" spans="1:16" s="4" customFormat="1" x14ac:dyDescent="0.25">
      <c r="A222" s="34">
        <f>IF(I222&lt;&gt;"",1+MAX($A$40:A221),"")</f>
        <v>149</v>
      </c>
      <c r="B222" s="26"/>
      <c r="C222" s="26"/>
      <c r="D222" s="27"/>
      <c r="E222" s="101" t="s">
        <v>141</v>
      </c>
      <c r="F222" s="122">
        <v>2.62</v>
      </c>
      <c r="G222" s="36">
        <v>0.1</v>
      </c>
      <c r="H222" s="29">
        <f t="shared" si="125"/>
        <v>2.8820000000000006</v>
      </c>
      <c r="I222" s="39" t="s">
        <v>79</v>
      </c>
      <c r="J222" s="31">
        <f>2.28*16</f>
        <v>36.479999999999997</v>
      </c>
      <c r="K222" s="31">
        <v>41.4</v>
      </c>
      <c r="L222" s="32">
        <f t="shared" si="126"/>
        <v>105.13536000000001</v>
      </c>
      <c r="M222" s="32">
        <f t="shared" si="127"/>
        <v>119.31480000000002</v>
      </c>
      <c r="N222" s="32">
        <f t="shared" si="128"/>
        <v>224.45016000000004</v>
      </c>
      <c r="O222" s="35"/>
      <c r="P222" s="3"/>
    </row>
    <row r="223" spans="1:16" s="4" customFormat="1" x14ac:dyDescent="0.25">
      <c r="A223" s="34">
        <f>IF(I223&lt;&gt;"",1+MAX($A$40:A222),"")</f>
        <v>150</v>
      </c>
      <c r="B223" s="26"/>
      <c r="C223" s="26"/>
      <c r="D223" s="27"/>
      <c r="E223" s="101" t="s">
        <v>142</v>
      </c>
      <c r="F223" s="122">
        <v>32.518796992481199</v>
      </c>
      <c r="G223" s="36">
        <v>0.1</v>
      </c>
      <c r="H223" s="29">
        <f t="shared" si="125"/>
        <v>35.770676691729321</v>
      </c>
      <c r="I223" s="39" t="s">
        <v>79</v>
      </c>
      <c r="J223" s="31">
        <f>1.52*30.66</f>
        <v>46.603200000000001</v>
      </c>
      <c r="K223" s="31">
        <f>1.57*30.66</f>
        <v>48.136200000000002</v>
      </c>
      <c r="L223" s="32">
        <f t="shared" si="126"/>
        <v>1667.028</v>
      </c>
      <c r="M223" s="32">
        <f t="shared" si="127"/>
        <v>1721.864447368421</v>
      </c>
      <c r="N223" s="32">
        <f t="shared" si="128"/>
        <v>3388.892447368421</v>
      </c>
      <c r="O223" s="35"/>
      <c r="P223" s="3"/>
    </row>
    <row r="224" spans="1:16" s="4" customFormat="1" x14ac:dyDescent="0.25">
      <c r="A224" s="34">
        <f>IF(I224&lt;&gt;"",1+MAX($A$40:A223),"")</f>
        <v>151</v>
      </c>
      <c r="B224" s="26"/>
      <c r="C224" s="26"/>
      <c r="D224" s="27"/>
      <c r="E224" s="101" t="s">
        <v>161</v>
      </c>
      <c r="F224" s="122">
        <v>64.284320000000008</v>
      </c>
      <c r="G224" s="36">
        <v>0.1</v>
      </c>
      <c r="H224" s="29">
        <f t="shared" si="125"/>
        <v>70.712752000000009</v>
      </c>
      <c r="I224" s="39" t="s">
        <v>82</v>
      </c>
      <c r="J224" s="31">
        <f>0.89*40</f>
        <v>35.6</v>
      </c>
      <c r="K224" s="31">
        <f>1.86*40</f>
        <v>74.400000000000006</v>
      </c>
      <c r="L224" s="32">
        <f t="shared" si="126"/>
        <v>2517.3739712000006</v>
      </c>
      <c r="M224" s="32">
        <f t="shared" si="127"/>
        <v>5261.0287488000013</v>
      </c>
      <c r="N224" s="32">
        <f t="shared" si="128"/>
        <v>7778.4027200000019</v>
      </c>
      <c r="O224" s="35"/>
      <c r="P224" s="3"/>
    </row>
    <row r="225" spans="1:16" s="4" customFormat="1" x14ac:dyDescent="0.25">
      <c r="A225" s="34">
        <f>IF(I225&lt;&gt;"",1+MAX($A$40:A224),"")</f>
        <v>152</v>
      </c>
      <c r="B225" s="26"/>
      <c r="C225" s="26"/>
      <c r="D225" s="27"/>
      <c r="E225" s="101" t="s">
        <v>162</v>
      </c>
      <c r="F225" s="122">
        <v>59.216102499999998</v>
      </c>
      <c r="G225" s="36">
        <v>0.1</v>
      </c>
      <c r="H225" s="29">
        <f t="shared" si="125"/>
        <v>65.137712750000006</v>
      </c>
      <c r="I225" s="39" t="s">
        <v>82</v>
      </c>
      <c r="J225" s="31">
        <f>2.9*40</f>
        <v>116</v>
      </c>
      <c r="K225" s="31">
        <f>1.95*40</f>
        <v>78</v>
      </c>
      <c r="L225" s="32">
        <f t="shared" si="126"/>
        <v>7555.9746790000008</v>
      </c>
      <c r="M225" s="32">
        <f t="shared" si="127"/>
        <v>5080.7415945000002</v>
      </c>
      <c r="N225" s="32">
        <f t="shared" si="128"/>
        <v>12636.716273500002</v>
      </c>
      <c r="O225" s="35"/>
      <c r="P225" s="3"/>
    </row>
    <row r="226" spans="1:16" s="4" customFormat="1" x14ac:dyDescent="0.25">
      <c r="A226" s="34">
        <f>IF(I226&lt;&gt;"",1+MAX($A$40:A225),"")</f>
        <v>153</v>
      </c>
      <c r="B226" s="26"/>
      <c r="C226" s="26"/>
      <c r="D226" s="27"/>
      <c r="E226" s="101" t="s">
        <v>94</v>
      </c>
      <c r="F226" s="122">
        <v>167.68</v>
      </c>
      <c r="G226" s="36">
        <v>0.1</v>
      </c>
      <c r="H226" s="29">
        <f t="shared" si="125"/>
        <v>184.44800000000004</v>
      </c>
      <c r="I226" s="39" t="s">
        <v>80</v>
      </c>
      <c r="J226" s="31">
        <v>0.22</v>
      </c>
      <c r="K226" s="31">
        <v>0.74749999999999994</v>
      </c>
      <c r="L226" s="32">
        <f t="shared" si="126"/>
        <v>40.57856000000001</v>
      </c>
      <c r="M226" s="32">
        <f t="shared" si="127"/>
        <v>137.87488000000002</v>
      </c>
      <c r="N226" s="32">
        <f t="shared" si="128"/>
        <v>178.45344000000003</v>
      </c>
      <c r="O226" s="35"/>
      <c r="P226" s="3"/>
    </row>
    <row r="227" spans="1:16" s="4" customFormat="1" x14ac:dyDescent="0.25">
      <c r="A227" s="34" t="str">
        <f>IF(I227&lt;&gt;"",1+MAX($A$40:A226),"")</f>
        <v/>
      </c>
      <c r="B227" s="26"/>
      <c r="C227" s="26"/>
      <c r="D227" s="27"/>
      <c r="E227" s="100" t="s">
        <v>163</v>
      </c>
      <c r="F227" s="122"/>
      <c r="G227" s="99"/>
      <c r="H227" s="99"/>
      <c r="I227" s="39"/>
      <c r="J227" s="31"/>
      <c r="K227" s="31"/>
      <c r="L227" s="32"/>
      <c r="M227" s="32"/>
      <c r="N227" s="32"/>
      <c r="O227" s="35"/>
      <c r="P227" s="3"/>
    </row>
    <row r="228" spans="1:16" s="4" customFormat="1" x14ac:dyDescent="0.25">
      <c r="A228" s="34">
        <f>IF(I228&lt;&gt;"",1+MAX($A$40:A227),"")</f>
        <v>154</v>
      </c>
      <c r="B228" s="26"/>
      <c r="C228" s="26"/>
      <c r="D228" s="27"/>
      <c r="E228" s="101" t="s">
        <v>157</v>
      </c>
      <c r="F228" s="122">
        <v>1.325</v>
      </c>
      <c r="G228" s="36">
        <v>0.1</v>
      </c>
      <c r="H228" s="29">
        <f t="shared" ref="H228:H232" si="129">IF(F228=0,"",F228*(1+G228))</f>
        <v>1.4575</v>
      </c>
      <c r="I228" s="39" t="s">
        <v>79</v>
      </c>
      <c r="J228" s="31">
        <f>2.28*16</f>
        <v>36.479999999999997</v>
      </c>
      <c r="K228" s="31">
        <v>41.4</v>
      </c>
      <c r="L228" s="32">
        <f t="shared" ref="L228:L232" si="130">IF(F228=0,"",J228*H228)</f>
        <v>53.169599999999996</v>
      </c>
      <c r="M228" s="32">
        <f t="shared" ref="M228:M232" si="131">IF(F228=0,"",K228*H228)</f>
        <v>60.340499999999999</v>
      </c>
      <c r="N228" s="32">
        <f t="shared" ref="N228:N232" si="132">IF(F228=0,"",L228+M228)</f>
        <v>113.51009999999999</v>
      </c>
      <c r="O228" s="35"/>
      <c r="P228" s="3"/>
    </row>
    <row r="229" spans="1:16" s="4" customFormat="1" x14ac:dyDescent="0.25">
      <c r="A229" s="34">
        <f>IF(I229&lt;&gt;"",1+MAX($A$40:A228),"")</f>
        <v>155</v>
      </c>
      <c r="B229" s="26"/>
      <c r="C229" s="26"/>
      <c r="D229" s="27"/>
      <c r="E229" s="101" t="s">
        <v>141</v>
      </c>
      <c r="F229" s="122">
        <v>1.325</v>
      </c>
      <c r="G229" s="36">
        <v>0.1</v>
      </c>
      <c r="H229" s="29">
        <f t="shared" si="129"/>
        <v>1.4575</v>
      </c>
      <c r="I229" s="39" t="s">
        <v>79</v>
      </c>
      <c r="J229" s="31">
        <f>2.28*16</f>
        <v>36.479999999999997</v>
      </c>
      <c r="K229" s="31">
        <v>41.4</v>
      </c>
      <c r="L229" s="32">
        <f t="shared" si="130"/>
        <v>53.169599999999996</v>
      </c>
      <c r="M229" s="32">
        <f t="shared" si="131"/>
        <v>60.340499999999999</v>
      </c>
      <c r="N229" s="32">
        <f t="shared" si="132"/>
        <v>113.51009999999999</v>
      </c>
      <c r="O229" s="35"/>
      <c r="P229" s="3"/>
    </row>
    <row r="230" spans="1:16" s="4" customFormat="1" x14ac:dyDescent="0.25">
      <c r="A230" s="34">
        <f>IF(I230&lt;&gt;"",1+MAX($A$40:A229),"")</f>
        <v>156</v>
      </c>
      <c r="B230" s="26"/>
      <c r="C230" s="26"/>
      <c r="D230" s="27"/>
      <c r="E230" s="101" t="s">
        <v>164</v>
      </c>
      <c r="F230" s="122">
        <v>16.939849624060148</v>
      </c>
      <c r="G230" s="36">
        <v>0.1</v>
      </c>
      <c r="H230" s="29">
        <f t="shared" si="129"/>
        <v>18.633834586466165</v>
      </c>
      <c r="I230" s="39" t="s">
        <v>79</v>
      </c>
      <c r="J230" s="31">
        <f>1.52*4</f>
        <v>6.08</v>
      </c>
      <c r="K230" s="31">
        <f>1.57*4</f>
        <v>6.28</v>
      </c>
      <c r="L230" s="32">
        <f t="shared" si="130"/>
        <v>113.29371428571429</v>
      </c>
      <c r="M230" s="32">
        <f t="shared" si="131"/>
        <v>117.02048120300752</v>
      </c>
      <c r="N230" s="32">
        <f t="shared" si="132"/>
        <v>230.31419548872179</v>
      </c>
      <c r="O230" s="35"/>
      <c r="P230" s="3"/>
    </row>
    <row r="231" spans="1:16" s="4" customFormat="1" x14ac:dyDescent="0.25">
      <c r="A231" s="34">
        <f>IF(I231&lt;&gt;"",1+MAX($A$40:A230),"")</f>
        <v>157</v>
      </c>
      <c r="B231" s="26"/>
      <c r="C231" s="26"/>
      <c r="D231" s="27"/>
      <c r="E231" s="101" t="s">
        <v>165</v>
      </c>
      <c r="F231" s="122">
        <v>5.3</v>
      </c>
      <c r="G231" s="36">
        <v>0.1</v>
      </c>
      <c r="H231" s="29">
        <f t="shared" si="129"/>
        <v>5.83</v>
      </c>
      <c r="I231" s="39" t="s">
        <v>82</v>
      </c>
      <c r="J231" s="31">
        <f>0.89*32</f>
        <v>28.48</v>
      </c>
      <c r="K231" s="31">
        <f>1.92*32</f>
        <v>61.44</v>
      </c>
      <c r="L231" s="32">
        <f t="shared" si="130"/>
        <v>166.0384</v>
      </c>
      <c r="M231" s="32">
        <f t="shared" si="131"/>
        <v>358.1952</v>
      </c>
      <c r="N231" s="32">
        <f t="shared" si="132"/>
        <v>524.23360000000002</v>
      </c>
      <c r="O231" s="35"/>
      <c r="P231" s="3"/>
    </row>
    <row r="232" spans="1:16" s="4" customFormat="1" x14ac:dyDescent="0.25">
      <c r="A232" s="34">
        <f>IF(I232&lt;&gt;"",1+MAX($A$40:A231),"")</f>
        <v>158</v>
      </c>
      <c r="B232" s="26"/>
      <c r="C232" s="26"/>
      <c r="D232" s="27"/>
      <c r="E232" s="101" t="s">
        <v>94</v>
      </c>
      <c r="F232" s="122">
        <v>84.8</v>
      </c>
      <c r="G232" s="36">
        <v>0.1</v>
      </c>
      <c r="H232" s="29">
        <f t="shared" si="129"/>
        <v>93.28</v>
      </c>
      <c r="I232" s="39" t="s">
        <v>80</v>
      </c>
      <c r="J232" s="31">
        <v>0.22</v>
      </c>
      <c r="K232" s="31">
        <v>0.74749999999999994</v>
      </c>
      <c r="L232" s="32">
        <f t="shared" si="130"/>
        <v>20.521599999999999</v>
      </c>
      <c r="M232" s="32">
        <f t="shared" si="131"/>
        <v>69.726799999999997</v>
      </c>
      <c r="N232" s="32">
        <f t="shared" si="132"/>
        <v>90.248400000000004</v>
      </c>
      <c r="O232" s="35"/>
      <c r="P232" s="3"/>
    </row>
    <row r="233" spans="1:16" s="4" customFormat="1" x14ac:dyDescent="0.25">
      <c r="A233" s="34" t="str">
        <f>IF(I233&lt;&gt;"",1+MAX($A$40:A232),"")</f>
        <v/>
      </c>
      <c r="B233" s="26"/>
      <c r="C233" s="26"/>
      <c r="D233" s="27"/>
      <c r="E233" s="100" t="s">
        <v>166</v>
      </c>
      <c r="F233" s="122"/>
      <c r="G233" s="99"/>
      <c r="H233" s="99"/>
      <c r="I233" s="39"/>
      <c r="J233" s="31"/>
      <c r="K233" s="31"/>
      <c r="L233" s="32"/>
      <c r="M233" s="32"/>
      <c r="N233" s="32"/>
      <c r="O233" s="35"/>
      <c r="P233" s="3"/>
    </row>
    <row r="234" spans="1:16" s="4" customFormat="1" x14ac:dyDescent="0.25">
      <c r="A234" s="34">
        <f>IF(I234&lt;&gt;"",1+MAX($A$40:A233),"")</f>
        <v>159</v>
      </c>
      <c r="B234" s="26"/>
      <c r="C234" s="26"/>
      <c r="D234" s="27"/>
      <c r="E234" s="101" t="s">
        <v>101</v>
      </c>
      <c r="F234" s="122">
        <v>1.72</v>
      </c>
      <c r="G234" s="36">
        <v>0.1</v>
      </c>
      <c r="H234" s="29">
        <f t="shared" ref="H234:H239" si="133">IF(F234=0,"",F234*(1+G234))</f>
        <v>1.8920000000000001</v>
      </c>
      <c r="I234" s="39" t="s">
        <v>79</v>
      </c>
      <c r="J234" s="31">
        <f t="shared" ref="J234:J235" si="134">2.03*16</f>
        <v>32.479999999999997</v>
      </c>
      <c r="K234" s="31">
        <v>36.799999999999997</v>
      </c>
      <c r="L234" s="32">
        <f t="shared" ref="L234:L239" si="135">IF(F234=0,"",J234*H234)</f>
        <v>61.452159999999999</v>
      </c>
      <c r="M234" s="32">
        <f t="shared" ref="M234:M239" si="136">IF(F234=0,"",K234*H234)</f>
        <v>69.625600000000006</v>
      </c>
      <c r="N234" s="32">
        <f t="shared" ref="N234:N239" si="137">IF(F234=0,"",L234+M234)</f>
        <v>131.07776000000001</v>
      </c>
      <c r="O234" s="35"/>
      <c r="P234" s="3"/>
    </row>
    <row r="235" spans="1:16" s="4" customFormat="1" x14ac:dyDescent="0.25">
      <c r="A235" s="34">
        <f>IF(I235&lt;&gt;"",1+MAX($A$40:A234),"")</f>
        <v>160</v>
      </c>
      <c r="B235" s="26"/>
      <c r="C235" s="26"/>
      <c r="D235" s="27"/>
      <c r="E235" s="101" t="s">
        <v>97</v>
      </c>
      <c r="F235" s="122">
        <v>1.72</v>
      </c>
      <c r="G235" s="36">
        <v>0.1</v>
      </c>
      <c r="H235" s="29">
        <f t="shared" si="133"/>
        <v>1.8920000000000001</v>
      </c>
      <c r="I235" s="39" t="s">
        <v>79</v>
      </c>
      <c r="J235" s="31">
        <f t="shared" si="134"/>
        <v>32.479999999999997</v>
      </c>
      <c r="K235" s="31">
        <v>36.799999999999997</v>
      </c>
      <c r="L235" s="32">
        <f t="shared" si="135"/>
        <v>61.452159999999999</v>
      </c>
      <c r="M235" s="32">
        <f t="shared" si="136"/>
        <v>69.625600000000006</v>
      </c>
      <c r="N235" s="32">
        <f t="shared" si="137"/>
        <v>131.07776000000001</v>
      </c>
      <c r="O235" s="35"/>
      <c r="P235" s="3"/>
    </row>
    <row r="236" spans="1:16" s="4" customFormat="1" x14ac:dyDescent="0.25">
      <c r="A236" s="34">
        <f>IF(I236&lt;&gt;"",1+MAX($A$40:A235),"")</f>
        <v>161</v>
      </c>
      <c r="B236" s="26"/>
      <c r="C236" s="26"/>
      <c r="D236" s="27"/>
      <c r="E236" s="101" t="s">
        <v>123</v>
      </c>
      <c r="F236" s="122">
        <v>21.69172932330827</v>
      </c>
      <c r="G236" s="36">
        <v>0.1</v>
      </c>
      <c r="H236" s="29">
        <f t="shared" si="133"/>
        <v>23.860902255639097</v>
      </c>
      <c r="I236" s="39" t="s">
        <v>79</v>
      </c>
      <c r="J236" s="31">
        <f>1.34*16</f>
        <v>21.44</v>
      </c>
      <c r="K236" s="31">
        <f>1.39*16</f>
        <v>22.24</v>
      </c>
      <c r="L236" s="32">
        <f t="shared" si="135"/>
        <v>511.57774436090227</v>
      </c>
      <c r="M236" s="32">
        <f t="shared" si="136"/>
        <v>530.66646616541345</v>
      </c>
      <c r="N236" s="32">
        <f t="shared" si="137"/>
        <v>1042.2442105263158</v>
      </c>
      <c r="O236" s="35"/>
      <c r="P236" s="3"/>
    </row>
    <row r="237" spans="1:16" s="4" customFormat="1" x14ac:dyDescent="0.25">
      <c r="A237" s="34">
        <f>IF(I237&lt;&gt;"",1+MAX($A$40:A236),"")</f>
        <v>162</v>
      </c>
      <c r="B237" s="26"/>
      <c r="C237" s="26"/>
      <c r="D237" s="27"/>
      <c r="E237" s="101" t="s">
        <v>167</v>
      </c>
      <c r="F237" s="122">
        <v>8.6</v>
      </c>
      <c r="G237" s="36">
        <v>0.1</v>
      </c>
      <c r="H237" s="29">
        <f t="shared" si="133"/>
        <v>9.4600000000000009</v>
      </c>
      <c r="I237" s="39" t="s">
        <v>82</v>
      </c>
      <c r="J237" s="31">
        <f>0.94*32</f>
        <v>30.08</v>
      </c>
      <c r="K237" s="31">
        <f>1.98*32</f>
        <v>63.36</v>
      </c>
      <c r="L237" s="32">
        <f t="shared" si="135"/>
        <v>284.55680000000001</v>
      </c>
      <c r="M237" s="32">
        <f t="shared" si="136"/>
        <v>599.38560000000007</v>
      </c>
      <c r="N237" s="32">
        <f t="shared" si="137"/>
        <v>883.94240000000013</v>
      </c>
      <c r="O237" s="35"/>
      <c r="P237" s="3"/>
    </row>
    <row r="238" spans="1:16" s="4" customFormat="1" x14ac:dyDescent="0.25">
      <c r="A238" s="34">
        <f>IF(I238&lt;&gt;"",1+MAX($A$40:A237),"")</f>
        <v>163</v>
      </c>
      <c r="B238" s="26"/>
      <c r="C238" s="26"/>
      <c r="D238" s="27"/>
      <c r="E238" s="101" t="s">
        <v>121</v>
      </c>
      <c r="F238" s="122">
        <v>440.32</v>
      </c>
      <c r="G238" s="36">
        <v>0.1</v>
      </c>
      <c r="H238" s="29">
        <f t="shared" si="133"/>
        <v>484.35200000000003</v>
      </c>
      <c r="I238" s="39" t="s">
        <v>81</v>
      </c>
      <c r="J238" s="31">
        <v>1.85</v>
      </c>
      <c r="K238" s="31">
        <v>0.94</v>
      </c>
      <c r="L238" s="32">
        <f t="shared" si="135"/>
        <v>896.05120000000011</v>
      </c>
      <c r="M238" s="32">
        <f t="shared" si="136"/>
        <v>455.29088000000002</v>
      </c>
      <c r="N238" s="32">
        <f t="shared" si="137"/>
        <v>1351.3420800000001</v>
      </c>
      <c r="O238" s="35"/>
      <c r="P238" s="3"/>
    </row>
    <row r="239" spans="1:16" s="4" customFormat="1" x14ac:dyDescent="0.25">
      <c r="A239" s="34">
        <f>IF(I239&lt;&gt;"",1+MAX($A$40:A238),"")</f>
        <v>164</v>
      </c>
      <c r="B239" s="26"/>
      <c r="C239" s="26"/>
      <c r="D239" s="27"/>
      <c r="E239" s="101" t="s">
        <v>94</v>
      </c>
      <c r="F239" s="122">
        <v>55.04</v>
      </c>
      <c r="G239" s="36">
        <v>0.1</v>
      </c>
      <c r="H239" s="29">
        <f t="shared" si="133"/>
        <v>60.544000000000004</v>
      </c>
      <c r="I239" s="39" t="s">
        <v>80</v>
      </c>
      <c r="J239" s="31">
        <v>0.22</v>
      </c>
      <c r="K239" s="31">
        <v>0.74749999999999994</v>
      </c>
      <c r="L239" s="32">
        <f t="shared" si="135"/>
        <v>13.319680000000002</v>
      </c>
      <c r="M239" s="32">
        <f t="shared" si="136"/>
        <v>45.256639999999997</v>
      </c>
      <c r="N239" s="32">
        <f t="shared" si="137"/>
        <v>58.576319999999996</v>
      </c>
      <c r="O239" s="35"/>
      <c r="P239" s="3"/>
    </row>
    <row r="240" spans="1:16" s="4" customFormat="1" x14ac:dyDescent="0.25">
      <c r="A240" s="34" t="str">
        <f>IF(I240&lt;&gt;"",1+MAX($A$40:A239),"")</f>
        <v/>
      </c>
      <c r="B240" s="26"/>
      <c r="C240" s="26"/>
      <c r="D240" s="27"/>
      <c r="E240" s="95" t="s">
        <v>168</v>
      </c>
      <c r="F240" s="122"/>
      <c r="G240" s="99"/>
      <c r="H240" s="99"/>
      <c r="I240" s="39"/>
      <c r="J240" s="31"/>
      <c r="K240" s="31"/>
      <c r="L240" s="32"/>
      <c r="M240" s="32"/>
      <c r="N240" s="32"/>
      <c r="O240" s="35"/>
      <c r="P240" s="3"/>
    </row>
    <row r="241" spans="1:16" s="4" customFormat="1" x14ac:dyDescent="0.25">
      <c r="A241" s="34" t="str">
        <f>IF(I241&lt;&gt;"",1+MAX($A$40:A240),"")</f>
        <v/>
      </c>
      <c r="B241" s="26"/>
      <c r="C241" s="26"/>
      <c r="D241" s="27"/>
      <c r="E241" s="100" t="s">
        <v>169</v>
      </c>
      <c r="F241" s="122"/>
      <c r="G241" s="99"/>
      <c r="H241" s="99"/>
      <c r="I241" s="39"/>
      <c r="J241" s="31"/>
      <c r="K241" s="31"/>
      <c r="L241" s="32"/>
      <c r="M241" s="32"/>
      <c r="N241" s="32"/>
      <c r="O241" s="35"/>
      <c r="P241" s="3"/>
    </row>
    <row r="242" spans="1:16" s="4" customFormat="1" x14ac:dyDescent="0.25">
      <c r="A242" s="34">
        <f>IF(I242&lt;&gt;"",1+MAX($A$40:A241),"")</f>
        <v>165</v>
      </c>
      <c r="B242" s="26"/>
      <c r="C242" s="26"/>
      <c r="D242" s="27"/>
      <c r="E242" s="102" t="s">
        <v>90</v>
      </c>
      <c r="F242" s="122">
        <v>1.9412499999999999</v>
      </c>
      <c r="G242" s="36">
        <v>0.1</v>
      </c>
      <c r="H242" s="29">
        <f t="shared" ref="H242:H246" si="138">IF(F242=0,"",F242*(1+G242))</f>
        <v>2.1353750000000002</v>
      </c>
      <c r="I242" s="39" t="s">
        <v>79</v>
      </c>
      <c r="J242" s="31">
        <f t="shared" ref="J242:J243" si="139">1.85*16</f>
        <v>29.6</v>
      </c>
      <c r="K242" s="31">
        <f t="shared" ref="K242:K243" si="140">1.82*16</f>
        <v>29.12</v>
      </c>
      <c r="L242" s="32">
        <f t="shared" ref="L242:L246" si="141">IF(F242=0,"",J242*H242)</f>
        <v>63.207100000000011</v>
      </c>
      <c r="M242" s="32">
        <f t="shared" ref="M242:M246" si="142">IF(F242=0,"",K242*H242)</f>
        <v>62.182120000000012</v>
      </c>
      <c r="N242" s="32">
        <f t="shared" ref="N242:N246" si="143">IF(F242=0,"",L242+M242)</f>
        <v>125.38922000000002</v>
      </c>
      <c r="O242" s="35"/>
      <c r="P242" s="3"/>
    </row>
    <row r="243" spans="1:16" s="4" customFormat="1" x14ac:dyDescent="0.25">
      <c r="A243" s="34">
        <f>IF(I243&lt;&gt;"",1+MAX($A$40:A242),"")</f>
        <v>166</v>
      </c>
      <c r="B243" s="26"/>
      <c r="C243" s="26"/>
      <c r="D243" s="27"/>
      <c r="E243" s="101" t="s">
        <v>91</v>
      </c>
      <c r="F243" s="122">
        <v>1.9412499999999999</v>
      </c>
      <c r="G243" s="36">
        <v>0.1</v>
      </c>
      <c r="H243" s="29">
        <f t="shared" si="138"/>
        <v>2.1353750000000002</v>
      </c>
      <c r="I243" s="39" t="s">
        <v>79</v>
      </c>
      <c r="J243" s="31">
        <f t="shared" si="139"/>
        <v>29.6</v>
      </c>
      <c r="K243" s="31">
        <f t="shared" si="140"/>
        <v>29.12</v>
      </c>
      <c r="L243" s="32">
        <f t="shared" si="141"/>
        <v>63.207100000000011</v>
      </c>
      <c r="M243" s="32">
        <f t="shared" si="142"/>
        <v>62.182120000000012</v>
      </c>
      <c r="N243" s="32">
        <f t="shared" si="143"/>
        <v>125.38922000000002</v>
      </c>
      <c r="O243" s="35"/>
      <c r="P243" s="3"/>
    </row>
    <row r="244" spans="1:16" s="4" customFormat="1" x14ac:dyDescent="0.25">
      <c r="A244" s="34">
        <f>IF(I244&lt;&gt;"",1+MAX($A$40:A243),"")</f>
        <v>167</v>
      </c>
      <c r="B244" s="26"/>
      <c r="C244" s="26"/>
      <c r="D244" s="27"/>
      <c r="E244" s="101" t="s">
        <v>170</v>
      </c>
      <c r="F244" s="122">
        <v>24.353383458646615</v>
      </c>
      <c r="G244" s="36">
        <v>0.1</v>
      </c>
      <c r="H244" s="29">
        <f t="shared" si="138"/>
        <v>26.78872180451128</v>
      </c>
      <c r="I244" s="39" t="s">
        <v>79</v>
      </c>
      <c r="J244" s="31">
        <f>1.25*16.66</f>
        <v>20.824999999999999</v>
      </c>
      <c r="K244" s="31">
        <f>1.28*16.66</f>
        <v>21.3248</v>
      </c>
      <c r="L244" s="32">
        <f t="shared" si="141"/>
        <v>557.87513157894739</v>
      </c>
      <c r="M244" s="32">
        <f t="shared" si="142"/>
        <v>571.26413473684215</v>
      </c>
      <c r="N244" s="32">
        <f t="shared" si="143"/>
        <v>1129.1392663157894</v>
      </c>
      <c r="O244" s="35"/>
      <c r="P244" s="3"/>
    </row>
    <row r="245" spans="1:16" s="4" customFormat="1" x14ac:dyDescent="0.25">
      <c r="A245" s="34">
        <f>IF(I245&lt;&gt;"",1+MAX($A$40:A244),"")</f>
        <v>168</v>
      </c>
      <c r="B245" s="26"/>
      <c r="C245" s="26"/>
      <c r="D245" s="27"/>
      <c r="E245" s="101" t="s">
        <v>171</v>
      </c>
      <c r="F245" s="122">
        <v>16.180318750000001</v>
      </c>
      <c r="G245" s="36">
        <v>0.1</v>
      </c>
      <c r="H245" s="29">
        <f t="shared" si="138"/>
        <v>17.798350625000005</v>
      </c>
      <c r="I245" s="39" t="s">
        <v>82</v>
      </c>
      <c r="J245" s="31">
        <f>0.89*32</f>
        <v>28.48</v>
      </c>
      <c r="K245" s="31">
        <f>1.92*32</f>
        <v>61.44</v>
      </c>
      <c r="L245" s="32">
        <f t="shared" si="141"/>
        <v>506.89702580000016</v>
      </c>
      <c r="M245" s="32">
        <f t="shared" si="142"/>
        <v>1093.5306624000002</v>
      </c>
      <c r="N245" s="32">
        <f t="shared" si="143"/>
        <v>1600.4276882000004</v>
      </c>
      <c r="O245" s="35"/>
      <c r="P245" s="3"/>
    </row>
    <row r="246" spans="1:16" s="4" customFormat="1" x14ac:dyDescent="0.25">
      <c r="A246" s="34">
        <f>IF(I246&lt;&gt;"",1+MAX($A$40:A245),"")</f>
        <v>169</v>
      </c>
      <c r="B246" s="26"/>
      <c r="C246" s="26"/>
      <c r="D246" s="27"/>
      <c r="E246" s="101" t="s">
        <v>94</v>
      </c>
      <c r="F246" s="122">
        <v>62.12</v>
      </c>
      <c r="G246" s="36">
        <v>0.1</v>
      </c>
      <c r="H246" s="29">
        <f t="shared" si="138"/>
        <v>68.332000000000008</v>
      </c>
      <c r="I246" s="39" t="s">
        <v>80</v>
      </c>
      <c r="J246" s="31">
        <v>0.22</v>
      </c>
      <c r="K246" s="31">
        <v>0.74749999999999994</v>
      </c>
      <c r="L246" s="32">
        <f t="shared" si="141"/>
        <v>15.033040000000002</v>
      </c>
      <c r="M246" s="32">
        <f t="shared" si="142"/>
        <v>51.07817</v>
      </c>
      <c r="N246" s="32">
        <f t="shared" si="143"/>
        <v>66.11121</v>
      </c>
      <c r="O246" s="35"/>
      <c r="P246" s="3"/>
    </row>
    <row r="247" spans="1:16" s="4" customFormat="1" x14ac:dyDescent="0.25">
      <c r="A247" s="34" t="str">
        <f>IF(I247&lt;&gt;"",1+MAX($A$40:A246),"")</f>
        <v/>
      </c>
      <c r="B247" s="26"/>
      <c r="C247" s="26"/>
      <c r="D247" s="27"/>
      <c r="E247" s="100" t="s">
        <v>100</v>
      </c>
      <c r="F247" s="122"/>
      <c r="G247" s="99"/>
      <c r="H247" s="99"/>
      <c r="I247" s="39"/>
      <c r="J247" s="31"/>
      <c r="K247" s="31"/>
      <c r="L247" s="32"/>
      <c r="M247" s="32"/>
      <c r="N247" s="32"/>
      <c r="O247" s="35"/>
      <c r="P247" s="3"/>
    </row>
    <row r="248" spans="1:16" s="4" customFormat="1" x14ac:dyDescent="0.25">
      <c r="A248" s="34">
        <f>IF(I248&lt;&gt;"",1+MAX($A$40:A247),"")</f>
        <v>170</v>
      </c>
      <c r="B248" s="26"/>
      <c r="C248" s="26"/>
      <c r="D248" s="27"/>
      <c r="E248" s="101" t="s">
        <v>101</v>
      </c>
      <c r="F248" s="122">
        <v>4.2212500000000004</v>
      </c>
      <c r="G248" s="36">
        <v>0.1</v>
      </c>
      <c r="H248" s="29">
        <f t="shared" ref="H248:H253" si="144">IF(F248=0,"",F248*(1+G248))</f>
        <v>4.6433750000000007</v>
      </c>
      <c r="I248" s="39" t="s">
        <v>79</v>
      </c>
      <c r="J248" s="31">
        <f t="shared" ref="J248:J249" si="145">2.03*16</f>
        <v>32.479999999999997</v>
      </c>
      <c r="K248" s="31">
        <v>36.799999999999997</v>
      </c>
      <c r="L248" s="32">
        <f t="shared" ref="L248:L253" si="146">IF(F248=0,"",J248*H248)</f>
        <v>150.81682000000001</v>
      </c>
      <c r="M248" s="32">
        <f t="shared" ref="M248:M253" si="147">IF(F248=0,"",K248*H248)</f>
        <v>170.87620000000001</v>
      </c>
      <c r="N248" s="32">
        <f t="shared" ref="N248:N253" si="148">IF(F248=0,"",L248+M248)</f>
        <v>321.69302000000005</v>
      </c>
      <c r="O248" s="35"/>
      <c r="P248" s="3"/>
    </row>
    <row r="249" spans="1:16" s="4" customFormat="1" x14ac:dyDescent="0.25">
      <c r="A249" s="34">
        <f>IF(I249&lt;&gt;"",1+MAX($A$40:A248),"")</f>
        <v>171</v>
      </c>
      <c r="B249" s="26"/>
      <c r="C249" s="26"/>
      <c r="D249" s="27"/>
      <c r="E249" s="101" t="s">
        <v>97</v>
      </c>
      <c r="F249" s="122">
        <v>4.2212500000000004</v>
      </c>
      <c r="G249" s="36">
        <v>0.1</v>
      </c>
      <c r="H249" s="29">
        <f t="shared" si="144"/>
        <v>4.6433750000000007</v>
      </c>
      <c r="I249" s="39" t="s">
        <v>79</v>
      </c>
      <c r="J249" s="31">
        <f t="shared" si="145"/>
        <v>32.479999999999997</v>
      </c>
      <c r="K249" s="31">
        <v>36.799999999999997</v>
      </c>
      <c r="L249" s="32">
        <f t="shared" si="146"/>
        <v>150.81682000000001</v>
      </c>
      <c r="M249" s="32">
        <f t="shared" si="147"/>
        <v>170.87620000000001</v>
      </c>
      <c r="N249" s="32">
        <f t="shared" si="148"/>
        <v>321.69302000000005</v>
      </c>
      <c r="O249" s="35"/>
      <c r="P249" s="3"/>
    </row>
    <row r="250" spans="1:16" s="4" customFormat="1" x14ac:dyDescent="0.25">
      <c r="A250" s="34">
        <f>IF(I250&lt;&gt;"",1+MAX($A$40:A249),"")</f>
        <v>172</v>
      </c>
      <c r="B250" s="26"/>
      <c r="C250" s="26"/>
      <c r="D250" s="27"/>
      <c r="E250" s="101" t="s">
        <v>111</v>
      </c>
      <c r="F250" s="122">
        <v>51.781954887218049</v>
      </c>
      <c r="G250" s="36">
        <v>0.1</v>
      </c>
      <c r="H250" s="29">
        <f t="shared" si="144"/>
        <v>56.960150375939861</v>
      </c>
      <c r="I250" s="39" t="s">
        <v>79</v>
      </c>
      <c r="J250" s="31">
        <f>1.34*16.66</f>
        <v>22.324400000000001</v>
      </c>
      <c r="K250" s="31">
        <f>1.39*16.66</f>
        <v>23.157399999999999</v>
      </c>
      <c r="L250" s="32">
        <f t="shared" si="146"/>
        <v>1271.6011810526318</v>
      </c>
      <c r="M250" s="32">
        <f t="shared" si="147"/>
        <v>1319.0489863157898</v>
      </c>
      <c r="N250" s="32">
        <f t="shared" si="148"/>
        <v>2590.6501673684215</v>
      </c>
      <c r="O250" s="35"/>
      <c r="P250" s="3"/>
    </row>
    <row r="251" spans="1:16" s="4" customFormat="1" x14ac:dyDescent="0.25">
      <c r="A251" s="34">
        <f>IF(I251&lt;&gt;"",1+MAX($A$40:A250),"")</f>
        <v>173</v>
      </c>
      <c r="B251" s="26"/>
      <c r="C251" s="26"/>
      <c r="D251" s="27"/>
      <c r="E251" s="101" t="s">
        <v>172</v>
      </c>
      <c r="F251" s="122">
        <v>220.06656853932591</v>
      </c>
      <c r="G251" s="36">
        <v>0.1</v>
      </c>
      <c r="H251" s="29">
        <f t="shared" si="144"/>
        <v>242.07322539325853</v>
      </c>
      <c r="I251" s="39" t="s">
        <v>79</v>
      </c>
      <c r="J251" s="31">
        <f>4.95*9</f>
        <v>44.550000000000004</v>
      </c>
      <c r="K251" s="31">
        <f>2.28*9</f>
        <v>20.52</v>
      </c>
      <c r="L251" s="32">
        <f t="shared" si="146"/>
        <v>10784.362191269669</v>
      </c>
      <c r="M251" s="32">
        <f t="shared" si="147"/>
        <v>4967.3425850696649</v>
      </c>
      <c r="N251" s="32">
        <f t="shared" si="148"/>
        <v>15751.704776339335</v>
      </c>
      <c r="O251" s="35"/>
      <c r="P251" s="3"/>
    </row>
    <row r="252" spans="1:16" s="4" customFormat="1" x14ac:dyDescent="0.25">
      <c r="A252" s="34">
        <f>IF(I252&lt;&gt;"",1+MAX($A$40:A251),"")</f>
        <v>174</v>
      </c>
      <c r="B252" s="26"/>
      <c r="C252" s="26"/>
      <c r="D252" s="27"/>
      <c r="E252" s="101" t="s">
        <v>173</v>
      </c>
      <c r="F252" s="122">
        <v>40.101875000000007</v>
      </c>
      <c r="G252" s="36">
        <v>0.1</v>
      </c>
      <c r="H252" s="29">
        <f t="shared" si="144"/>
        <v>44.112062500000015</v>
      </c>
      <c r="I252" s="39" t="s">
        <v>82</v>
      </c>
      <c r="J252" s="31">
        <f>0.89*32</f>
        <v>28.48</v>
      </c>
      <c r="K252" s="31">
        <f>1.92*32</f>
        <v>61.44</v>
      </c>
      <c r="L252" s="32">
        <f t="shared" si="146"/>
        <v>1256.3115400000004</v>
      </c>
      <c r="M252" s="32">
        <f t="shared" si="147"/>
        <v>2710.245120000001</v>
      </c>
      <c r="N252" s="32">
        <f t="shared" si="148"/>
        <v>3966.5566600000011</v>
      </c>
      <c r="O252" s="35"/>
      <c r="P252" s="3"/>
    </row>
    <row r="253" spans="1:16" s="4" customFormat="1" x14ac:dyDescent="0.25">
      <c r="A253" s="34">
        <f>IF(I253&lt;&gt;"",1+MAX($A$40:A252),"")</f>
        <v>175</v>
      </c>
      <c r="B253" s="26"/>
      <c r="C253" s="26"/>
      <c r="D253" s="27"/>
      <c r="E253" s="101" t="s">
        <v>94</v>
      </c>
      <c r="F253" s="122">
        <v>270.16000000000003</v>
      </c>
      <c r="G253" s="36">
        <v>0.1</v>
      </c>
      <c r="H253" s="29">
        <f t="shared" si="144"/>
        <v>297.17600000000004</v>
      </c>
      <c r="I253" s="39" t="s">
        <v>80</v>
      </c>
      <c r="J253" s="31">
        <v>0.22</v>
      </c>
      <c r="K253" s="31">
        <v>0.74749999999999994</v>
      </c>
      <c r="L253" s="32">
        <f t="shared" si="146"/>
        <v>65.378720000000015</v>
      </c>
      <c r="M253" s="32">
        <f t="shared" si="147"/>
        <v>222.13906000000003</v>
      </c>
      <c r="N253" s="32">
        <f t="shared" si="148"/>
        <v>287.51778000000002</v>
      </c>
      <c r="O253" s="35"/>
      <c r="P253" s="3"/>
    </row>
    <row r="254" spans="1:16" s="4" customFormat="1" x14ac:dyDescent="0.25">
      <c r="A254" s="34" t="str">
        <f>IF(I254&lt;&gt;"",1+MAX($A$40:A253),"")</f>
        <v/>
      </c>
      <c r="B254" s="26"/>
      <c r="C254" s="26"/>
      <c r="D254" s="27"/>
      <c r="E254" s="100" t="s">
        <v>174</v>
      </c>
      <c r="F254" s="122"/>
      <c r="G254" s="99"/>
      <c r="H254" s="99"/>
      <c r="I254" s="39"/>
      <c r="J254" s="31"/>
      <c r="K254" s="31"/>
      <c r="L254" s="32"/>
      <c r="M254" s="32"/>
      <c r="N254" s="32"/>
      <c r="O254" s="35"/>
      <c r="P254" s="3"/>
    </row>
    <row r="255" spans="1:16" s="4" customFormat="1" x14ac:dyDescent="0.25">
      <c r="A255" s="34">
        <f>IF(I255&lt;&gt;"",1+MAX($A$40:A254),"")</f>
        <v>176</v>
      </c>
      <c r="B255" s="26"/>
      <c r="C255" s="26"/>
      <c r="D255" s="27"/>
      <c r="E255" s="101" t="s">
        <v>101</v>
      </c>
      <c r="F255" s="122">
        <v>15.1625</v>
      </c>
      <c r="G255" s="36">
        <v>0.1</v>
      </c>
      <c r="H255" s="29">
        <f t="shared" ref="H255:H260" si="149">IF(F255=0,"",F255*(1+G255))</f>
        <v>16.678750000000001</v>
      </c>
      <c r="I255" s="39" t="s">
        <v>79</v>
      </c>
      <c r="J255" s="31">
        <f t="shared" ref="J255:J256" si="150">2.03*16</f>
        <v>32.479999999999997</v>
      </c>
      <c r="K255" s="31">
        <v>36.799999999999997</v>
      </c>
      <c r="L255" s="32">
        <f t="shared" ref="L255:L260" si="151">IF(F255=0,"",J255*H255)</f>
        <v>541.72579999999994</v>
      </c>
      <c r="M255" s="32">
        <f t="shared" ref="M255:M260" si="152">IF(F255=0,"",K255*H255)</f>
        <v>613.77800000000002</v>
      </c>
      <c r="N255" s="32">
        <f t="shared" ref="N255:N260" si="153">IF(F255=0,"",L255+M255)</f>
        <v>1155.5038</v>
      </c>
      <c r="O255" s="35"/>
      <c r="P255" s="3"/>
    </row>
    <row r="256" spans="1:16" s="4" customFormat="1" x14ac:dyDescent="0.25">
      <c r="A256" s="34">
        <f>IF(I256&lt;&gt;"",1+MAX($A$40:A255),"")</f>
        <v>177</v>
      </c>
      <c r="B256" s="26"/>
      <c r="C256" s="26"/>
      <c r="D256" s="27"/>
      <c r="E256" s="101" t="s">
        <v>97</v>
      </c>
      <c r="F256" s="122">
        <v>15.1625</v>
      </c>
      <c r="G256" s="36">
        <v>0.1</v>
      </c>
      <c r="H256" s="29">
        <f t="shared" si="149"/>
        <v>16.678750000000001</v>
      </c>
      <c r="I256" s="39" t="s">
        <v>79</v>
      </c>
      <c r="J256" s="31">
        <f t="shared" si="150"/>
        <v>32.479999999999997</v>
      </c>
      <c r="K256" s="31">
        <v>36.799999999999997</v>
      </c>
      <c r="L256" s="32">
        <f t="shared" si="151"/>
        <v>541.72579999999994</v>
      </c>
      <c r="M256" s="32">
        <f t="shared" si="152"/>
        <v>613.77800000000002</v>
      </c>
      <c r="N256" s="32">
        <f t="shared" si="153"/>
        <v>1155.5038</v>
      </c>
      <c r="O256" s="35"/>
      <c r="P256" s="3"/>
    </row>
    <row r="257" spans="1:16" s="4" customFormat="1" x14ac:dyDescent="0.25">
      <c r="A257" s="34">
        <f>IF(I257&lt;&gt;"",1+MAX($A$40:A256),"")</f>
        <v>178</v>
      </c>
      <c r="B257" s="26"/>
      <c r="C257" s="26"/>
      <c r="D257" s="27"/>
      <c r="E257" s="101" t="s">
        <v>111</v>
      </c>
      <c r="F257" s="122">
        <v>183.40601503759396</v>
      </c>
      <c r="G257" s="36">
        <v>0.1</v>
      </c>
      <c r="H257" s="29">
        <f t="shared" si="149"/>
        <v>201.74661654135338</v>
      </c>
      <c r="I257" s="39" t="s">
        <v>79</v>
      </c>
      <c r="J257" s="31">
        <f>1.34*16.66</f>
        <v>22.324400000000001</v>
      </c>
      <c r="K257" s="31">
        <f>1.39*16.66</f>
        <v>23.157399999999999</v>
      </c>
      <c r="L257" s="32">
        <f t="shared" si="151"/>
        <v>4503.8721663157894</v>
      </c>
      <c r="M257" s="32">
        <f t="shared" si="152"/>
        <v>4671.9270978947361</v>
      </c>
      <c r="N257" s="32">
        <f t="shared" si="153"/>
        <v>9175.7992642105255</v>
      </c>
      <c r="O257" s="35"/>
      <c r="P257" s="3"/>
    </row>
    <row r="258" spans="1:16" s="4" customFormat="1" x14ac:dyDescent="0.25">
      <c r="A258" s="34">
        <f>IF(I258&lt;&gt;"",1+MAX($A$40:A257),"")</f>
        <v>179</v>
      </c>
      <c r="B258" s="26"/>
      <c r="C258" s="26"/>
      <c r="D258" s="27"/>
      <c r="E258" s="101" t="s">
        <v>175</v>
      </c>
      <c r="F258" s="122">
        <v>252.75887500000002</v>
      </c>
      <c r="G258" s="36">
        <v>0.1</v>
      </c>
      <c r="H258" s="29">
        <f t="shared" si="149"/>
        <v>278.03476250000006</v>
      </c>
      <c r="I258" s="39" t="s">
        <v>82</v>
      </c>
      <c r="J258" s="31">
        <f>0.89*32</f>
        <v>28.48</v>
      </c>
      <c r="K258" s="31">
        <f>1.92*32</f>
        <v>61.44</v>
      </c>
      <c r="L258" s="32">
        <f t="shared" si="151"/>
        <v>7918.4300360000016</v>
      </c>
      <c r="M258" s="32">
        <f t="shared" si="152"/>
        <v>17082.455808000002</v>
      </c>
      <c r="N258" s="32">
        <f t="shared" si="153"/>
        <v>25000.885844000004</v>
      </c>
      <c r="O258" s="35"/>
      <c r="P258" s="3"/>
    </row>
    <row r="259" spans="1:16" s="4" customFormat="1" x14ac:dyDescent="0.25">
      <c r="A259" s="34">
        <f>IF(I259&lt;&gt;"",1+MAX($A$40:A258),"")</f>
        <v>180</v>
      </c>
      <c r="B259" s="26"/>
      <c r="C259" s="26"/>
      <c r="D259" s="27"/>
      <c r="E259" s="101" t="s">
        <v>121</v>
      </c>
      <c r="F259" s="122">
        <v>4044.1420000000003</v>
      </c>
      <c r="G259" s="36">
        <v>0.1</v>
      </c>
      <c r="H259" s="29">
        <f t="shared" si="149"/>
        <v>4448.5562000000009</v>
      </c>
      <c r="I259" s="39" t="s">
        <v>81</v>
      </c>
      <c r="J259" s="31">
        <v>1.85</v>
      </c>
      <c r="K259" s="31">
        <v>0.94</v>
      </c>
      <c r="L259" s="32">
        <f t="shared" si="151"/>
        <v>8229.8289700000023</v>
      </c>
      <c r="M259" s="32">
        <f t="shared" si="152"/>
        <v>4181.6428280000009</v>
      </c>
      <c r="N259" s="32">
        <f t="shared" si="153"/>
        <v>12411.471798000002</v>
      </c>
      <c r="O259" s="35"/>
      <c r="P259" s="3"/>
    </row>
    <row r="260" spans="1:16" s="4" customFormat="1" x14ac:dyDescent="0.25">
      <c r="A260" s="34">
        <f>IF(I260&lt;&gt;"",1+MAX($A$40:A259),"")</f>
        <v>181</v>
      </c>
      <c r="B260" s="26"/>
      <c r="C260" s="26"/>
      <c r="D260" s="27"/>
      <c r="E260" s="101" t="s">
        <v>94</v>
      </c>
      <c r="F260" s="122">
        <v>970.4</v>
      </c>
      <c r="G260" s="36">
        <v>0.1</v>
      </c>
      <c r="H260" s="29">
        <f t="shared" si="149"/>
        <v>1067.44</v>
      </c>
      <c r="I260" s="39" t="s">
        <v>80</v>
      </c>
      <c r="J260" s="31">
        <v>0.22</v>
      </c>
      <c r="K260" s="31">
        <v>0.74749999999999994</v>
      </c>
      <c r="L260" s="32">
        <f t="shared" si="151"/>
        <v>234.83680000000001</v>
      </c>
      <c r="M260" s="32">
        <f t="shared" si="152"/>
        <v>797.91139999999996</v>
      </c>
      <c r="N260" s="32">
        <f t="shared" si="153"/>
        <v>1032.7482</v>
      </c>
      <c r="O260" s="35"/>
      <c r="P260" s="3"/>
    </row>
    <row r="261" spans="1:16" s="4" customFormat="1" x14ac:dyDescent="0.25">
      <c r="A261" s="34" t="str">
        <f>IF(I261&lt;&gt;"",1+MAX($A$40:A260),"")</f>
        <v/>
      </c>
      <c r="B261" s="26"/>
      <c r="C261" s="26"/>
      <c r="D261" s="27"/>
      <c r="E261" s="100" t="s">
        <v>176</v>
      </c>
      <c r="F261" s="122"/>
      <c r="G261" s="99"/>
      <c r="H261" s="99"/>
      <c r="I261" s="39"/>
      <c r="J261" s="31"/>
      <c r="K261" s="31"/>
      <c r="L261" s="32"/>
      <c r="M261" s="32"/>
      <c r="N261" s="32"/>
      <c r="O261" s="35"/>
      <c r="P261" s="3"/>
    </row>
    <row r="262" spans="1:16" s="4" customFormat="1" x14ac:dyDescent="0.25">
      <c r="A262" s="34">
        <f>IF(I262&lt;&gt;"",1+MAX($A$40:A261),"")</f>
        <v>182</v>
      </c>
      <c r="B262" s="26"/>
      <c r="C262" s="26"/>
      <c r="D262" s="27"/>
      <c r="E262" s="101" t="s">
        <v>101</v>
      </c>
      <c r="F262" s="122">
        <v>3.1287500000000001</v>
      </c>
      <c r="G262" s="36">
        <v>0.1</v>
      </c>
      <c r="H262" s="29">
        <f t="shared" ref="H262:H267" si="154">IF(F262=0,"",F262*(1+G262))</f>
        <v>3.4416250000000006</v>
      </c>
      <c r="I262" s="39" t="s">
        <v>79</v>
      </c>
      <c r="J262" s="31">
        <f t="shared" ref="J262:J263" si="155">2.03*16</f>
        <v>32.479999999999997</v>
      </c>
      <c r="K262" s="31">
        <v>36.799999999999997</v>
      </c>
      <c r="L262" s="32">
        <f t="shared" ref="L262:L267" si="156">IF(F262=0,"",J262*H262)</f>
        <v>111.78398000000001</v>
      </c>
      <c r="M262" s="32">
        <f t="shared" ref="M262:M267" si="157">IF(F262=0,"",K262*H262)</f>
        <v>126.65180000000001</v>
      </c>
      <c r="N262" s="32">
        <f t="shared" ref="N262:N267" si="158">IF(F262=0,"",L262+M262)</f>
        <v>238.43578000000002</v>
      </c>
      <c r="O262" s="35"/>
      <c r="P262" s="3"/>
    </row>
    <row r="263" spans="1:16" s="4" customFormat="1" x14ac:dyDescent="0.25">
      <c r="A263" s="34">
        <f>IF(I263&lt;&gt;"",1+MAX($A$40:A262),"")</f>
        <v>183</v>
      </c>
      <c r="B263" s="26"/>
      <c r="C263" s="26"/>
      <c r="D263" s="27"/>
      <c r="E263" s="101" t="s">
        <v>97</v>
      </c>
      <c r="F263" s="122">
        <v>3.1287500000000001</v>
      </c>
      <c r="G263" s="36">
        <v>0.1</v>
      </c>
      <c r="H263" s="29">
        <f t="shared" si="154"/>
        <v>3.4416250000000006</v>
      </c>
      <c r="I263" s="39" t="s">
        <v>79</v>
      </c>
      <c r="J263" s="31">
        <f t="shared" si="155"/>
        <v>32.479999999999997</v>
      </c>
      <c r="K263" s="31">
        <v>36.799999999999997</v>
      </c>
      <c r="L263" s="32">
        <f t="shared" si="156"/>
        <v>111.78398000000001</v>
      </c>
      <c r="M263" s="32">
        <f t="shared" si="157"/>
        <v>126.65180000000001</v>
      </c>
      <c r="N263" s="32">
        <f t="shared" si="158"/>
        <v>238.43578000000002</v>
      </c>
      <c r="O263" s="35"/>
      <c r="P263" s="3"/>
    </row>
    <row r="264" spans="1:16" s="4" customFormat="1" x14ac:dyDescent="0.25">
      <c r="A264" s="34">
        <f>IF(I264&lt;&gt;"",1+MAX($A$40:A263),"")</f>
        <v>184</v>
      </c>
      <c r="B264" s="26"/>
      <c r="C264" s="26"/>
      <c r="D264" s="27"/>
      <c r="E264" s="101" t="s">
        <v>111</v>
      </c>
      <c r="F264" s="122">
        <v>38.639097744360903</v>
      </c>
      <c r="G264" s="36">
        <v>0.1</v>
      </c>
      <c r="H264" s="29">
        <f t="shared" si="154"/>
        <v>42.503007518796998</v>
      </c>
      <c r="I264" s="39" t="s">
        <v>79</v>
      </c>
      <c r="J264" s="31">
        <f>1.34*16.66</f>
        <v>22.324400000000001</v>
      </c>
      <c r="K264" s="31">
        <f>1.39*16.66</f>
        <v>23.157399999999999</v>
      </c>
      <c r="L264" s="32">
        <f t="shared" si="156"/>
        <v>948.85414105263169</v>
      </c>
      <c r="M264" s="32">
        <f t="shared" si="157"/>
        <v>984.25914631578962</v>
      </c>
      <c r="N264" s="32">
        <f t="shared" si="158"/>
        <v>1933.1132873684214</v>
      </c>
      <c r="O264" s="35"/>
      <c r="P264" s="3"/>
    </row>
    <row r="265" spans="1:16" s="4" customFormat="1" x14ac:dyDescent="0.25">
      <c r="A265" s="34">
        <f>IF(I265&lt;&gt;"",1+MAX($A$40:A264),"")</f>
        <v>185</v>
      </c>
      <c r="B265" s="26"/>
      <c r="C265" s="26"/>
      <c r="D265" s="27"/>
      <c r="E265" s="101" t="s">
        <v>177</v>
      </c>
      <c r="F265" s="122">
        <v>40.939693750000004</v>
      </c>
      <c r="G265" s="36">
        <v>0.1</v>
      </c>
      <c r="H265" s="29">
        <f t="shared" si="154"/>
        <v>45.033663125000011</v>
      </c>
      <c r="I265" s="39" t="s">
        <v>82</v>
      </c>
      <c r="J265" s="31">
        <f>0.89*32</f>
        <v>28.48</v>
      </c>
      <c r="K265" s="31">
        <f>1.92*32</f>
        <v>61.44</v>
      </c>
      <c r="L265" s="32">
        <f t="shared" si="156"/>
        <v>1282.5587258000003</v>
      </c>
      <c r="M265" s="32">
        <f t="shared" si="157"/>
        <v>2766.8682624000007</v>
      </c>
      <c r="N265" s="32">
        <f t="shared" si="158"/>
        <v>4049.4269882000008</v>
      </c>
      <c r="O265" s="35"/>
      <c r="P265" s="3"/>
    </row>
    <row r="266" spans="1:16" s="4" customFormat="1" x14ac:dyDescent="0.25">
      <c r="A266" s="34">
        <f>IF(I266&lt;&gt;"",1+MAX($A$40:A265),"")</f>
        <v>186</v>
      </c>
      <c r="B266" s="26"/>
      <c r="C266" s="26"/>
      <c r="D266" s="27"/>
      <c r="E266" s="101" t="s">
        <v>178</v>
      </c>
      <c r="F266" s="122">
        <v>12.515000000000001</v>
      </c>
      <c r="G266" s="36">
        <v>0.1</v>
      </c>
      <c r="H266" s="29">
        <f t="shared" si="154"/>
        <v>13.766500000000002</v>
      </c>
      <c r="I266" s="39" t="s">
        <v>82</v>
      </c>
      <c r="J266" s="31">
        <f>2.9*32</f>
        <v>92.8</v>
      </c>
      <c r="K266" s="31">
        <v>72.86399999999999</v>
      </c>
      <c r="L266" s="32">
        <f t="shared" si="156"/>
        <v>1277.5312000000001</v>
      </c>
      <c r="M266" s="32">
        <f t="shared" si="157"/>
        <v>1003.082256</v>
      </c>
      <c r="N266" s="32">
        <f t="shared" si="158"/>
        <v>2280.613456</v>
      </c>
      <c r="O266" s="35"/>
      <c r="P266" s="3"/>
    </row>
    <row r="267" spans="1:16" s="4" customFormat="1" x14ac:dyDescent="0.25">
      <c r="A267" s="34">
        <f>IF(I267&lt;&gt;"",1+MAX($A$40:A266),"")</f>
        <v>187</v>
      </c>
      <c r="B267" s="26"/>
      <c r="C267" s="26"/>
      <c r="D267" s="27"/>
      <c r="E267" s="101" t="s">
        <v>94</v>
      </c>
      <c r="F267" s="122">
        <v>200.24</v>
      </c>
      <c r="G267" s="36">
        <v>0.1</v>
      </c>
      <c r="H267" s="29">
        <f t="shared" si="154"/>
        <v>220.26400000000004</v>
      </c>
      <c r="I267" s="39" t="s">
        <v>80</v>
      </c>
      <c r="J267" s="31">
        <v>0.22</v>
      </c>
      <c r="K267" s="31">
        <v>0.74749999999999994</v>
      </c>
      <c r="L267" s="32">
        <f t="shared" si="156"/>
        <v>48.45808000000001</v>
      </c>
      <c r="M267" s="32">
        <f t="shared" si="157"/>
        <v>164.64734000000001</v>
      </c>
      <c r="N267" s="32">
        <f t="shared" si="158"/>
        <v>213.10542000000004</v>
      </c>
      <c r="O267" s="35"/>
      <c r="P267" s="3"/>
    </row>
    <row r="268" spans="1:16" s="4" customFormat="1" x14ac:dyDescent="0.25">
      <c r="A268" s="34" t="str">
        <f>IF(I268&lt;&gt;"",1+MAX($A$40:A267),"")</f>
        <v/>
      </c>
      <c r="B268" s="26"/>
      <c r="C268" s="26"/>
      <c r="D268" s="27"/>
      <c r="E268" s="100" t="s">
        <v>128</v>
      </c>
      <c r="F268" s="122"/>
      <c r="G268" s="99"/>
      <c r="H268" s="99"/>
      <c r="I268" s="39"/>
      <c r="J268" s="31"/>
      <c r="K268" s="31"/>
      <c r="L268" s="32"/>
      <c r="M268" s="32"/>
      <c r="N268" s="32"/>
      <c r="O268" s="35"/>
      <c r="P268" s="3"/>
    </row>
    <row r="269" spans="1:16" s="4" customFormat="1" x14ac:dyDescent="0.25">
      <c r="A269" s="34">
        <f>IF(I269&lt;&gt;"",1+MAX($A$40:A268),"")</f>
        <v>188</v>
      </c>
      <c r="B269" s="26"/>
      <c r="C269" s="26"/>
      <c r="D269" s="27"/>
      <c r="E269" s="101" t="s">
        <v>101</v>
      </c>
      <c r="F269" s="122">
        <v>5.8268750000000002</v>
      </c>
      <c r="G269" s="36">
        <v>0.1</v>
      </c>
      <c r="H269" s="29">
        <f t="shared" ref="H269:H274" si="159">IF(F269=0,"",F269*(1+G269))</f>
        <v>6.4095625000000007</v>
      </c>
      <c r="I269" s="39" t="s">
        <v>79</v>
      </c>
      <c r="J269" s="31">
        <f t="shared" ref="J269:J270" si="160">2.03*16</f>
        <v>32.479999999999997</v>
      </c>
      <c r="K269" s="31">
        <v>36.799999999999997</v>
      </c>
      <c r="L269" s="32">
        <f t="shared" ref="L269:L274" si="161">IF(F269=0,"",J269*H269)</f>
        <v>208.18259</v>
      </c>
      <c r="M269" s="32">
        <f t="shared" ref="M269:M274" si="162">IF(F269=0,"",K269*H269)</f>
        <v>235.87190000000001</v>
      </c>
      <c r="N269" s="32">
        <f t="shared" ref="N269:N274" si="163">IF(F269=0,"",L269+M269)</f>
        <v>444.05448999999999</v>
      </c>
      <c r="O269" s="35"/>
      <c r="P269" s="3"/>
    </row>
    <row r="270" spans="1:16" s="4" customFormat="1" x14ac:dyDescent="0.25">
      <c r="A270" s="34">
        <f>IF(I270&lt;&gt;"",1+MAX($A$40:A269),"")</f>
        <v>189</v>
      </c>
      <c r="B270" s="26"/>
      <c r="C270" s="26"/>
      <c r="D270" s="27"/>
      <c r="E270" s="101" t="s">
        <v>97</v>
      </c>
      <c r="F270" s="122">
        <v>5.8268750000000002</v>
      </c>
      <c r="G270" s="36">
        <v>0.1</v>
      </c>
      <c r="H270" s="29">
        <f t="shared" si="159"/>
        <v>6.4095625000000007</v>
      </c>
      <c r="I270" s="39" t="s">
        <v>79</v>
      </c>
      <c r="J270" s="31">
        <f t="shared" si="160"/>
        <v>32.479999999999997</v>
      </c>
      <c r="K270" s="31">
        <v>36.799999999999997</v>
      </c>
      <c r="L270" s="32">
        <f t="shared" si="161"/>
        <v>208.18259</v>
      </c>
      <c r="M270" s="32">
        <f t="shared" si="162"/>
        <v>235.87190000000001</v>
      </c>
      <c r="N270" s="32">
        <f t="shared" si="163"/>
        <v>444.05448999999999</v>
      </c>
      <c r="O270" s="35"/>
      <c r="P270" s="3"/>
    </row>
    <row r="271" spans="1:16" s="4" customFormat="1" x14ac:dyDescent="0.25">
      <c r="A271" s="34">
        <f>IF(I271&lt;&gt;"",1+MAX($A$40:A270),"")</f>
        <v>190</v>
      </c>
      <c r="B271" s="26"/>
      <c r="C271" s="26"/>
      <c r="D271" s="27"/>
      <c r="E271" s="101" t="s">
        <v>111</v>
      </c>
      <c r="F271" s="122">
        <v>71.097744360902254</v>
      </c>
      <c r="G271" s="36">
        <v>0.1</v>
      </c>
      <c r="H271" s="29">
        <f t="shared" si="159"/>
        <v>78.207518796992488</v>
      </c>
      <c r="I271" s="39" t="s">
        <v>79</v>
      </c>
      <c r="J271" s="31">
        <f>1.34*16.66</f>
        <v>22.324400000000001</v>
      </c>
      <c r="K271" s="31">
        <f>1.39*16.66</f>
        <v>23.157399999999999</v>
      </c>
      <c r="L271" s="32">
        <f t="shared" si="161"/>
        <v>1745.9359326315791</v>
      </c>
      <c r="M271" s="32">
        <f t="shared" si="162"/>
        <v>1811.0827957894737</v>
      </c>
      <c r="N271" s="32">
        <f t="shared" si="163"/>
        <v>3557.0187284210529</v>
      </c>
      <c r="O271" s="35"/>
      <c r="P271" s="3"/>
    </row>
    <row r="272" spans="1:16" s="4" customFormat="1" x14ac:dyDescent="0.25">
      <c r="A272" s="34">
        <f>IF(I272&lt;&gt;"",1+MAX($A$40:A271),"")</f>
        <v>191</v>
      </c>
      <c r="B272" s="26"/>
      <c r="C272" s="26"/>
      <c r="D272" s="27"/>
      <c r="E272" s="101" t="s">
        <v>179</v>
      </c>
      <c r="F272" s="122">
        <v>97.192275000000009</v>
      </c>
      <c r="G272" s="36">
        <v>0.1</v>
      </c>
      <c r="H272" s="29">
        <f t="shared" si="159"/>
        <v>106.91150250000003</v>
      </c>
      <c r="I272" s="39" t="s">
        <v>82</v>
      </c>
      <c r="J272" s="31">
        <f>0.89*32</f>
        <v>28.48</v>
      </c>
      <c r="K272" s="31">
        <f>1.92*32</f>
        <v>61.44</v>
      </c>
      <c r="L272" s="32">
        <f t="shared" si="161"/>
        <v>3044.839591200001</v>
      </c>
      <c r="M272" s="32">
        <f t="shared" si="162"/>
        <v>6568.6427136000011</v>
      </c>
      <c r="N272" s="32">
        <f t="shared" si="163"/>
        <v>9613.4823048000017</v>
      </c>
      <c r="O272" s="35"/>
      <c r="P272" s="3"/>
    </row>
    <row r="273" spans="1:16" s="4" customFormat="1" x14ac:dyDescent="0.25">
      <c r="A273" s="34">
        <f>IF(I273&lt;&gt;"",1+MAX($A$40:A272),"")</f>
        <v>192</v>
      </c>
      <c r="B273" s="26"/>
      <c r="C273" s="26"/>
      <c r="D273" s="27"/>
      <c r="E273" s="101" t="s">
        <v>121</v>
      </c>
      <c r="F273" s="122">
        <v>1555.0764000000001</v>
      </c>
      <c r="G273" s="36">
        <v>0.1</v>
      </c>
      <c r="H273" s="29">
        <f t="shared" si="159"/>
        <v>1710.5840400000004</v>
      </c>
      <c r="I273" s="39" t="s">
        <v>81</v>
      </c>
      <c r="J273" s="31">
        <v>1.85</v>
      </c>
      <c r="K273" s="31">
        <v>0.94</v>
      </c>
      <c r="L273" s="32">
        <f t="shared" si="161"/>
        <v>3164.5804740000008</v>
      </c>
      <c r="M273" s="32">
        <f t="shared" si="162"/>
        <v>1607.9489976000002</v>
      </c>
      <c r="N273" s="32">
        <f t="shared" si="163"/>
        <v>4772.5294716000008</v>
      </c>
      <c r="O273" s="35"/>
      <c r="P273" s="3"/>
    </row>
    <row r="274" spans="1:16" s="4" customFormat="1" x14ac:dyDescent="0.25">
      <c r="A274" s="34">
        <f>IF(I274&lt;&gt;"",1+MAX($A$40:A273),"")</f>
        <v>193</v>
      </c>
      <c r="B274" s="26"/>
      <c r="C274" s="26"/>
      <c r="D274" s="27"/>
      <c r="E274" s="101" t="s">
        <v>94</v>
      </c>
      <c r="F274" s="122">
        <v>372.92</v>
      </c>
      <c r="G274" s="36">
        <v>0.1</v>
      </c>
      <c r="H274" s="29">
        <f t="shared" si="159"/>
        <v>410.21200000000005</v>
      </c>
      <c r="I274" s="39" t="s">
        <v>80</v>
      </c>
      <c r="J274" s="31">
        <v>0.22</v>
      </c>
      <c r="K274" s="31">
        <v>0.74749999999999994</v>
      </c>
      <c r="L274" s="32">
        <f t="shared" si="161"/>
        <v>90.246640000000014</v>
      </c>
      <c r="M274" s="32">
        <f t="shared" si="162"/>
        <v>306.63346999999999</v>
      </c>
      <c r="N274" s="32">
        <f t="shared" si="163"/>
        <v>396.88011</v>
      </c>
      <c r="O274" s="35"/>
      <c r="P274" s="3"/>
    </row>
    <row r="275" spans="1:16" s="4" customFormat="1" x14ac:dyDescent="0.25">
      <c r="A275" s="34" t="str">
        <f>IF(I275&lt;&gt;"",1+MAX($A$40:A274),"")</f>
        <v/>
      </c>
      <c r="B275" s="26"/>
      <c r="C275" s="26"/>
      <c r="D275" s="27"/>
      <c r="E275" s="100" t="s">
        <v>180</v>
      </c>
      <c r="F275" s="122"/>
      <c r="G275" s="99"/>
      <c r="H275" s="99"/>
      <c r="I275" s="39"/>
      <c r="J275" s="31"/>
      <c r="K275" s="31"/>
      <c r="L275" s="32"/>
      <c r="M275" s="32"/>
      <c r="N275" s="32"/>
      <c r="O275" s="35"/>
      <c r="P275" s="3"/>
    </row>
    <row r="276" spans="1:16" s="4" customFormat="1" x14ac:dyDescent="0.25">
      <c r="A276" s="34">
        <f>IF(I276&lt;&gt;"",1+MAX($A$40:A275),"")</f>
        <v>194</v>
      </c>
      <c r="B276" s="26"/>
      <c r="C276" s="26"/>
      <c r="D276" s="27"/>
      <c r="E276" s="101" t="s">
        <v>101</v>
      </c>
      <c r="F276" s="122">
        <v>0.90375000000000005</v>
      </c>
      <c r="G276" s="36">
        <v>0.1</v>
      </c>
      <c r="H276" s="29">
        <f t="shared" ref="H276:H281" si="164">IF(F276=0,"",F276*(1+G276))</f>
        <v>0.99412500000000015</v>
      </c>
      <c r="I276" s="39" t="s">
        <v>79</v>
      </c>
      <c r="J276" s="31">
        <f t="shared" ref="J276:J277" si="165">2.03*16</f>
        <v>32.479999999999997</v>
      </c>
      <c r="K276" s="31">
        <v>36.799999999999997</v>
      </c>
      <c r="L276" s="32">
        <f t="shared" ref="L276:L281" si="166">IF(F276=0,"",J276*H276)</f>
        <v>32.289180000000002</v>
      </c>
      <c r="M276" s="32">
        <f t="shared" ref="M276:M281" si="167">IF(F276=0,"",K276*H276)</f>
        <v>36.583800000000004</v>
      </c>
      <c r="N276" s="32">
        <f t="shared" ref="N276:N281" si="168">IF(F276=0,"",L276+M276)</f>
        <v>68.872980000000013</v>
      </c>
      <c r="O276" s="35"/>
      <c r="P276" s="3"/>
    </row>
    <row r="277" spans="1:16" s="4" customFormat="1" x14ac:dyDescent="0.25">
      <c r="A277" s="34">
        <f>IF(I277&lt;&gt;"",1+MAX($A$40:A276),"")</f>
        <v>195</v>
      </c>
      <c r="B277" s="26"/>
      <c r="C277" s="26"/>
      <c r="D277" s="27"/>
      <c r="E277" s="101" t="s">
        <v>97</v>
      </c>
      <c r="F277" s="122">
        <v>0.90375000000000005</v>
      </c>
      <c r="G277" s="36">
        <v>0.1</v>
      </c>
      <c r="H277" s="29">
        <f t="shared" si="164"/>
        <v>0.99412500000000015</v>
      </c>
      <c r="I277" s="39" t="s">
        <v>79</v>
      </c>
      <c r="J277" s="31">
        <f t="shared" si="165"/>
        <v>32.479999999999997</v>
      </c>
      <c r="K277" s="31">
        <v>36.799999999999997</v>
      </c>
      <c r="L277" s="32">
        <f t="shared" si="166"/>
        <v>32.289180000000002</v>
      </c>
      <c r="M277" s="32">
        <f t="shared" si="167"/>
        <v>36.583800000000004</v>
      </c>
      <c r="N277" s="32">
        <f t="shared" si="168"/>
        <v>68.872980000000013</v>
      </c>
      <c r="O277" s="35"/>
      <c r="P277" s="3"/>
    </row>
    <row r="278" spans="1:16" s="4" customFormat="1" x14ac:dyDescent="0.25">
      <c r="A278" s="34">
        <f>IF(I278&lt;&gt;"",1+MAX($A$40:A277),"")</f>
        <v>196</v>
      </c>
      <c r="B278" s="26"/>
      <c r="C278" s="26"/>
      <c r="D278" s="27"/>
      <c r="E278" s="101" t="s">
        <v>111</v>
      </c>
      <c r="F278" s="122">
        <v>11.87218045112782</v>
      </c>
      <c r="G278" s="36">
        <v>0.1</v>
      </c>
      <c r="H278" s="29">
        <f t="shared" si="164"/>
        <v>13.059398496240602</v>
      </c>
      <c r="I278" s="39" t="s">
        <v>79</v>
      </c>
      <c r="J278" s="31">
        <f>1.34*16.66</f>
        <v>22.324400000000001</v>
      </c>
      <c r="K278" s="31">
        <f>1.39*16.66</f>
        <v>23.157399999999999</v>
      </c>
      <c r="L278" s="32">
        <f t="shared" si="166"/>
        <v>291.54323578947373</v>
      </c>
      <c r="M278" s="32">
        <f t="shared" si="167"/>
        <v>302.42171473684209</v>
      </c>
      <c r="N278" s="32">
        <f t="shared" si="168"/>
        <v>593.96495052631576</v>
      </c>
      <c r="O278" s="35"/>
      <c r="P278" s="3"/>
    </row>
    <row r="279" spans="1:16" s="4" customFormat="1" x14ac:dyDescent="0.25">
      <c r="A279" s="34">
        <f>IF(I279&lt;&gt;"",1+MAX($A$40:A278),"")</f>
        <v>197</v>
      </c>
      <c r="B279" s="26"/>
      <c r="C279" s="26"/>
      <c r="D279" s="27"/>
      <c r="E279" s="101" t="s">
        <v>181</v>
      </c>
      <c r="F279" s="122">
        <v>11.825568750000002</v>
      </c>
      <c r="G279" s="36">
        <v>0.1</v>
      </c>
      <c r="H279" s="29">
        <f t="shared" si="164"/>
        <v>13.008125625000003</v>
      </c>
      <c r="I279" s="39" t="s">
        <v>82</v>
      </c>
      <c r="J279" s="31">
        <f>0.89*32</f>
        <v>28.48</v>
      </c>
      <c r="K279" s="31">
        <f>1.92*32</f>
        <v>61.44</v>
      </c>
      <c r="L279" s="32">
        <f t="shared" si="166"/>
        <v>370.4714178000001</v>
      </c>
      <c r="M279" s="32">
        <f t="shared" si="167"/>
        <v>799.21923840000022</v>
      </c>
      <c r="N279" s="32">
        <f t="shared" si="168"/>
        <v>1169.6906562000004</v>
      </c>
      <c r="O279" s="35"/>
      <c r="P279" s="3"/>
    </row>
    <row r="280" spans="1:16" s="4" customFormat="1" x14ac:dyDescent="0.25">
      <c r="A280" s="34">
        <f>IF(I280&lt;&gt;"",1+MAX($A$40:A279),"")</f>
        <v>198</v>
      </c>
      <c r="B280" s="26"/>
      <c r="C280" s="26"/>
      <c r="D280" s="27"/>
      <c r="E280" s="101" t="s">
        <v>182</v>
      </c>
      <c r="F280" s="122">
        <v>3.6150000000000002</v>
      </c>
      <c r="G280" s="36">
        <v>0.1</v>
      </c>
      <c r="H280" s="29">
        <f t="shared" si="164"/>
        <v>3.9765000000000006</v>
      </c>
      <c r="I280" s="39" t="s">
        <v>82</v>
      </c>
      <c r="J280" s="31">
        <f>2.9*32</f>
        <v>92.8</v>
      </c>
      <c r="K280" s="31">
        <v>72.86399999999999</v>
      </c>
      <c r="L280" s="32">
        <f t="shared" si="166"/>
        <v>369.01920000000007</v>
      </c>
      <c r="M280" s="32">
        <f t="shared" si="167"/>
        <v>289.743696</v>
      </c>
      <c r="N280" s="32">
        <f t="shared" si="168"/>
        <v>658.76289600000007</v>
      </c>
      <c r="O280" s="35"/>
      <c r="P280" s="3"/>
    </row>
    <row r="281" spans="1:16" s="4" customFormat="1" x14ac:dyDescent="0.25">
      <c r="A281" s="34">
        <f>IF(I281&lt;&gt;"",1+MAX($A$40:A280),"")</f>
        <v>199</v>
      </c>
      <c r="B281" s="26"/>
      <c r="C281" s="26"/>
      <c r="D281" s="27"/>
      <c r="E281" s="101" t="s">
        <v>94</v>
      </c>
      <c r="F281" s="122">
        <v>57.84</v>
      </c>
      <c r="G281" s="36">
        <v>0.1</v>
      </c>
      <c r="H281" s="29">
        <f t="shared" si="164"/>
        <v>63.624000000000009</v>
      </c>
      <c r="I281" s="39" t="s">
        <v>80</v>
      </c>
      <c r="J281" s="31">
        <v>0.22</v>
      </c>
      <c r="K281" s="31">
        <v>0.74749999999999994</v>
      </c>
      <c r="L281" s="32">
        <f t="shared" si="166"/>
        <v>13.997280000000002</v>
      </c>
      <c r="M281" s="32">
        <f t="shared" si="167"/>
        <v>47.558940000000007</v>
      </c>
      <c r="N281" s="32">
        <f t="shared" si="168"/>
        <v>61.55622000000001</v>
      </c>
      <c r="O281" s="35"/>
      <c r="P281" s="3"/>
    </row>
    <row r="282" spans="1:16" s="4" customFormat="1" x14ac:dyDescent="0.25">
      <c r="A282" s="34" t="str">
        <f>IF(I282&lt;&gt;"",1+MAX($A$40:A281),"")</f>
        <v/>
      </c>
      <c r="B282" s="26"/>
      <c r="C282" s="26"/>
      <c r="D282" s="27"/>
      <c r="E282" s="100" t="s">
        <v>166</v>
      </c>
      <c r="F282" s="122"/>
      <c r="G282" s="99"/>
      <c r="H282" s="99"/>
      <c r="I282" s="39"/>
      <c r="J282" s="31"/>
      <c r="K282" s="31"/>
      <c r="L282" s="32"/>
      <c r="M282" s="32"/>
      <c r="N282" s="32"/>
      <c r="O282" s="35"/>
      <c r="P282" s="3"/>
    </row>
    <row r="283" spans="1:16" s="4" customFormat="1" x14ac:dyDescent="0.25">
      <c r="A283" s="34">
        <f>IF(I283&lt;&gt;"",1+MAX($A$40:A282),"")</f>
        <v>200</v>
      </c>
      <c r="B283" s="26"/>
      <c r="C283" s="26"/>
      <c r="D283" s="27"/>
      <c r="E283" s="101" t="s">
        <v>101</v>
      </c>
      <c r="F283" s="122">
        <v>2.875</v>
      </c>
      <c r="G283" s="36">
        <v>0.1</v>
      </c>
      <c r="H283" s="29">
        <f t="shared" ref="H283:H288" si="169">IF(F283=0,"",F283*(1+G283))</f>
        <v>3.1625000000000001</v>
      </c>
      <c r="I283" s="39" t="s">
        <v>79</v>
      </c>
      <c r="J283" s="31">
        <f t="shared" ref="J283:J284" si="170">2.03*16</f>
        <v>32.479999999999997</v>
      </c>
      <c r="K283" s="31">
        <v>36.799999999999997</v>
      </c>
      <c r="L283" s="32">
        <f t="shared" ref="L283:L288" si="171">IF(F283=0,"",J283*H283)</f>
        <v>102.71799999999999</v>
      </c>
      <c r="M283" s="32">
        <f t="shared" ref="M283:M288" si="172">IF(F283=0,"",K283*H283)</f>
        <v>116.38</v>
      </c>
      <c r="N283" s="32">
        <f t="shared" ref="N283:N288" si="173">IF(F283=0,"",L283+M283)</f>
        <v>219.09799999999998</v>
      </c>
      <c r="O283" s="35"/>
      <c r="P283" s="3"/>
    </row>
    <row r="284" spans="1:16" s="4" customFormat="1" x14ac:dyDescent="0.25">
      <c r="A284" s="34">
        <f>IF(I284&lt;&gt;"",1+MAX($A$40:A283),"")</f>
        <v>201</v>
      </c>
      <c r="B284" s="26"/>
      <c r="C284" s="26"/>
      <c r="D284" s="27"/>
      <c r="E284" s="101" t="s">
        <v>97</v>
      </c>
      <c r="F284" s="122">
        <v>2.875</v>
      </c>
      <c r="G284" s="36">
        <v>0.1</v>
      </c>
      <c r="H284" s="29">
        <f t="shared" si="169"/>
        <v>3.1625000000000001</v>
      </c>
      <c r="I284" s="39" t="s">
        <v>79</v>
      </c>
      <c r="J284" s="31">
        <f t="shared" si="170"/>
        <v>32.479999999999997</v>
      </c>
      <c r="K284" s="31">
        <v>36.799999999999997</v>
      </c>
      <c r="L284" s="32">
        <f t="shared" si="171"/>
        <v>102.71799999999999</v>
      </c>
      <c r="M284" s="32">
        <f t="shared" si="172"/>
        <v>116.38</v>
      </c>
      <c r="N284" s="32">
        <f t="shared" si="173"/>
        <v>219.09799999999998</v>
      </c>
      <c r="O284" s="35"/>
      <c r="P284" s="3"/>
    </row>
    <row r="285" spans="1:16" s="4" customFormat="1" x14ac:dyDescent="0.25">
      <c r="A285" s="34">
        <f>IF(I285&lt;&gt;"",1+MAX($A$40:A284),"")</f>
        <v>202</v>
      </c>
      <c r="B285" s="26"/>
      <c r="C285" s="26"/>
      <c r="D285" s="27"/>
      <c r="E285" s="101" t="s">
        <v>111</v>
      </c>
      <c r="F285" s="122">
        <v>35.586466165413533</v>
      </c>
      <c r="G285" s="36">
        <v>0.1</v>
      </c>
      <c r="H285" s="29">
        <f t="shared" si="169"/>
        <v>39.145112781954893</v>
      </c>
      <c r="I285" s="39" t="s">
        <v>79</v>
      </c>
      <c r="J285" s="31">
        <f>1.34*16.66</f>
        <v>22.324400000000001</v>
      </c>
      <c r="K285" s="31">
        <f>1.39*16.66</f>
        <v>23.157399999999999</v>
      </c>
      <c r="L285" s="32">
        <f t="shared" si="171"/>
        <v>873.89115578947383</v>
      </c>
      <c r="M285" s="32">
        <f t="shared" si="172"/>
        <v>906.49903473684219</v>
      </c>
      <c r="N285" s="32">
        <f t="shared" si="173"/>
        <v>1780.390190526316</v>
      </c>
      <c r="O285" s="35"/>
      <c r="P285" s="3"/>
    </row>
    <row r="286" spans="1:16" s="4" customFormat="1" x14ac:dyDescent="0.25">
      <c r="A286" s="34">
        <f>IF(I286&lt;&gt;"",1+MAX($A$40:A285),"")</f>
        <v>203</v>
      </c>
      <c r="B286" s="26"/>
      <c r="C286" s="26"/>
      <c r="D286" s="27"/>
      <c r="E286" s="101" t="s">
        <v>183</v>
      </c>
      <c r="F286" s="122">
        <v>13.65625</v>
      </c>
      <c r="G286" s="36">
        <v>0.1</v>
      </c>
      <c r="H286" s="29">
        <f t="shared" si="169"/>
        <v>15.021875000000001</v>
      </c>
      <c r="I286" s="39" t="s">
        <v>82</v>
      </c>
      <c r="J286" s="31">
        <f>0.94*32</f>
        <v>30.08</v>
      </c>
      <c r="K286" s="31">
        <f>1.98*32</f>
        <v>63.36</v>
      </c>
      <c r="L286" s="32">
        <f t="shared" si="171"/>
        <v>451.858</v>
      </c>
      <c r="M286" s="32">
        <f t="shared" si="172"/>
        <v>951.78600000000006</v>
      </c>
      <c r="N286" s="32">
        <f t="shared" si="173"/>
        <v>1403.644</v>
      </c>
      <c r="O286" s="35"/>
      <c r="P286" s="3"/>
    </row>
    <row r="287" spans="1:16" s="4" customFormat="1" x14ac:dyDescent="0.25">
      <c r="A287" s="34">
        <f>IF(I287&lt;&gt;"",1+MAX($A$40:A286),"")</f>
        <v>204</v>
      </c>
      <c r="B287" s="26"/>
      <c r="C287" s="26"/>
      <c r="D287" s="27"/>
      <c r="E287" s="101" t="s">
        <v>121</v>
      </c>
      <c r="F287" s="122">
        <v>437</v>
      </c>
      <c r="G287" s="36">
        <v>0.1</v>
      </c>
      <c r="H287" s="29">
        <f t="shared" si="169"/>
        <v>480.70000000000005</v>
      </c>
      <c r="I287" s="39" t="s">
        <v>81</v>
      </c>
      <c r="J287" s="31">
        <v>1.85</v>
      </c>
      <c r="K287" s="31">
        <v>0.94</v>
      </c>
      <c r="L287" s="32">
        <f t="shared" si="171"/>
        <v>889.29500000000007</v>
      </c>
      <c r="M287" s="32">
        <f t="shared" si="172"/>
        <v>451.858</v>
      </c>
      <c r="N287" s="32">
        <f t="shared" si="173"/>
        <v>1341.153</v>
      </c>
      <c r="O287" s="35"/>
      <c r="P287" s="3"/>
    </row>
    <row r="288" spans="1:16" s="4" customFormat="1" x14ac:dyDescent="0.25">
      <c r="A288" s="34">
        <f>IF(I288&lt;&gt;"",1+MAX($A$40:A287),"")</f>
        <v>205</v>
      </c>
      <c r="B288" s="26"/>
      <c r="C288" s="26"/>
      <c r="D288" s="27"/>
      <c r="E288" s="101" t="s">
        <v>94</v>
      </c>
      <c r="F288" s="122">
        <v>92</v>
      </c>
      <c r="G288" s="36">
        <v>0.1</v>
      </c>
      <c r="H288" s="29">
        <f t="shared" si="169"/>
        <v>101.2</v>
      </c>
      <c r="I288" s="39" t="s">
        <v>80</v>
      </c>
      <c r="J288" s="31">
        <v>0.22</v>
      </c>
      <c r="K288" s="31">
        <v>0.74749999999999994</v>
      </c>
      <c r="L288" s="32">
        <f t="shared" si="171"/>
        <v>22.263999999999999</v>
      </c>
      <c r="M288" s="32">
        <f t="shared" si="172"/>
        <v>75.646999999999991</v>
      </c>
      <c r="N288" s="32">
        <f t="shared" si="173"/>
        <v>97.910999999999987</v>
      </c>
      <c r="O288" s="35"/>
      <c r="P288" s="3"/>
    </row>
    <row r="289" spans="1:16" s="4" customFormat="1" x14ac:dyDescent="0.25">
      <c r="A289" s="34" t="str">
        <f>IF(I289&lt;&gt;"",1+MAX($A$40:A288),"")</f>
        <v/>
      </c>
      <c r="B289" s="26"/>
      <c r="C289" s="26"/>
      <c r="D289" s="27"/>
      <c r="E289" s="95" t="s">
        <v>202</v>
      </c>
      <c r="F289" s="123"/>
      <c r="G289" s="36"/>
      <c r="H289" s="29" t="str">
        <f t="shared" ref="H289:H352" si="174">IF(F289=0,"",F289*(1+G289))</f>
        <v/>
      </c>
      <c r="I289" s="114"/>
      <c r="J289" s="31"/>
      <c r="K289" s="31"/>
      <c r="L289" s="32" t="str">
        <f t="shared" ref="L289:L351" si="175">IF(F289=0,"",J289*H289)</f>
        <v/>
      </c>
      <c r="M289" s="32" t="str">
        <f t="shared" ref="M289:M351" si="176">IF(F289=0,"",K289*H289)</f>
        <v/>
      </c>
      <c r="N289" s="32" t="str">
        <f t="shared" ref="N289:N351" si="177">IF(F289=0,"",L289+M289)</f>
        <v/>
      </c>
      <c r="O289" s="35"/>
      <c r="P289" s="3"/>
    </row>
    <row r="290" spans="1:16" s="4" customFormat="1" x14ac:dyDescent="0.25">
      <c r="A290" s="34" t="str">
        <f>IF(I290&lt;&gt;"",1+MAX($A$40:A289),"")</f>
        <v/>
      </c>
      <c r="B290" s="26"/>
      <c r="C290" s="26"/>
      <c r="D290" s="27"/>
      <c r="E290" s="112" t="s">
        <v>203</v>
      </c>
      <c r="F290" s="124"/>
      <c r="G290" s="36"/>
      <c r="H290" s="29" t="str">
        <f t="shared" si="174"/>
        <v/>
      </c>
      <c r="I290" s="114"/>
      <c r="J290" s="31"/>
      <c r="K290" s="31"/>
      <c r="L290" s="32" t="str">
        <f t="shared" si="175"/>
        <v/>
      </c>
      <c r="M290" s="32" t="str">
        <f t="shared" si="176"/>
        <v/>
      </c>
      <c r="N290" s="32" t="str">
        <f t="shared" si="177"/>
        <v/>
      </c>
      <c r="O290" s="35"/>
      <c r="P290" s="3"/>
    </row>
    <row r="291" spans="1:16" s="4" customFormat="1" x14ac:dyDescent="0.25">
      <c r="A291" s="34">
        <f>IF(I291&lt;&gt;"",1+MAX($A$40:A290),"")</f>
        <v>206</v>
      </c>
      <c r="B291" s="26"/>
      <c r="C291" s="26"/>
      <c r="D291" s="27"/>
      <c r="E291" s="113" t="s">
        <v>204</v>
      </c>
      <c r="F291" s="124">
        <v>26.65</v>
      </c>
      <c r="G291" s="36">
        <v>0.1</v>
      </c>
      <c r="H291" s="29">
        <f t="shared" si="174"/>
        <v>29.315000000000001</v>
      </c>
      <c r="I291" s="114" t="s">
        <v>79</v>
      </c>
      <c r="J291" s="31">
        <f>4.54*16</f>
        <v>72.64</v>
      </c>
      <c r="K291" s="31">
        <f>3.96*16</f>
        <v>63.36</v>
      </c>
      <c r="L291" s="32">
        <f t="shared" si="175"/>
        <v>2129.4416000000001</v>
      </c>
      <c r="M291" s="32">
        <f t="shared" si="176"/>
        <v>1857.3984</v>
      </c>
      <c r="N291" s="32">
        <f t="shared" si="177"/>
        <v>3986.84</v>
      </c>
      <c r="O291" s="35"/>
      <c r="P291" s="3"/>
    </row>
    <row r="292" spans="1:16" s="4" customFormat="1" x14ac:dyDescent="0.25">
      <c r="A292" s="34">
        <f>IF(I292&lt;&gt;"",1+MAX($A$40:A291),"")</f>
        <v>207</v>
      </c>
      <c r="B292" s="26"/>
      <c r="C292" s="26"/>
      <c r="D292" s="27"/>
      <c r="E292" s="113" t="s">
        <v>205</v>
      </c>
      <c r="F292" s="124">
        <v>161.30075187969922</v>
      </c>
      <c r="G292" s="36">
        <v>0.1</v>
      </c>
      <c r="H292" s="29">
        <f t="shared" si="174"/>
        <v>177.43082706766916</v>
      </c>
      <c r="I292" s="114" t="s">
        <v>79</v>
      </c>
      <c r="J292" s="31">
        <f>3.48*30.66</f>
        <v>106.6968</v>
      </c>
      <c r="K292" s="31">
        <f>2.52*30.66</f>
        <v>77.263199999999998</v>
      </c>
      <c r="L292" s="32">
        <f t="shared" si="175"/>
        <v>18931.301469473681</v>
      </c>
      <c r="M292" s="32">
        <f t="shared" si="176"/>
        <v>13708.873477894735</v>
      </c>
      <c r="N292" s="32">
        <f t="shared" si="177"/>
        <v>32640.174947368418</v>
      </c>
      <c r="O292" s="35"/>
      <c r="P292" s="3"/>
    </row>
    <row r="293" spans="1:16" s="4" customFormat="1" x14ac:dyDescent="0.25">
      <c r="A293" s="34">
        <f>IF(I293&lt;&gt;"",1+MAX($A$40:A292),"")</f>
        <v>208</v>
      </c>
      <c r="B293" s="26"/>
      <c r="C293" s="26"/>
      <c r="D293" s="27"/>
      <c r="E293" s="113" t="s">
        <v>206</v>
      </c>
      <c r="F293" s="124">
        <v>26.65</v>
      </c>
      <c r="G293" s="36">
        <v>0.1</v>
      </c>
      <c r="H293" s="29">
        <f t="shared" si="174"/>
        <v>29.315000000000001</v>
      </c>
      <c r="I293" s="114" t="s">
        <v>79</v>
      </c>
      <c r="J293" s="31">
        <f t="shared" ref="J293" si="178">2.03*16</f>
        <v>32.479999999999997</v>
      </c>
      <c r="K293" s="31">
        <v>36.799999999999997</v>
      </c>
      <c r="L293" s="32">
        <f t="shared" si="175"/>
        <v>952.1511999999999</v>
      </c>
      <c r="M293" s="32">
        <f t="shared" si="176"/>
        <v>1078.7919999999999</v>
      </c>
      <c r="N293" s="32">
        <f t="shared" si="177"/>
        <v>2030.9431999999997</v>
      </c>
      <c r="O293" s="35"/>
      <c r="P293" s="3"/>
    </row>
    <row r="294" spans="1:16" s="4" customFormat="1" x14ac:dyDescent="0.25">
      <c r="A294" s="34">
        <f>IF(I294&lt;&gt;"",1+MAX($A$40:A293),"")</f>
        <v>209</v>
      </c>
      <c r="B294" s="26"/>
      <c r="C294" s="26"/>
      <c r="D294" s="27"/>
      <c r="E294" s="113" t="s">
        <v>207</v>
      </c>
      <c r="F294" s="124">
        <v>161.30075187969922</v>
      </c>
      <c r="G294" s="36">
        <v>0.1</v>
      </c>
      <c r="H294" s="29">
        <f t="shared" si="174"/>
        <v>177.43082706766916</v>
      </c>
      <c r="I294" s="114" t="s">
        <v>79</v>
      </c>
      <c r="J294" s="31">
        <f>1.34*2</f>
        <v>2.68</v>
      </c>
      <c r="K294" s="31">
        <f>1.39*2</f>
        <v>2.78</v>
      </c>
      <c r="L294" s="32">
        <f t="shared" si="175"/>
        <v>475.51461654135335</v>
      </c>
      <c r="M294" s="32">
        <f t="shared" si="176"/>
        <v>493.25769924812022</v>
      </c>
      <c r="N294" s="32">
        <f t="shared" si="177"/>
        <v>968.77231578947362</v>
      </c>
      <c r="O294" s="35"/>
      <c r="P294" s="3"/>
    </row>
    <row r="295" spans="1:16" s="4" customFormat="1" x14ac:dyDescent="0.25">
      <c r="A295" s="34">
        <f>IF(I295&lt;&gt;"",1+MAX($A$40:A294),"")</f>
        <v>210</v>
      </c>
      <c r="B295" s="26"/>
      <c r="C295" s="26"/>
      <c r="D295" s="27"/>
      <c r="E295" s="113" t="s">
        <v>208</v>
      </c>
      <c r="F295" s="124">
        <v>157.23499999999999</v>
      </c>
      <c r="G295" s="36">
        <v>0.1</v>
      </c>
      <c r="H295" s="29">
        <f t="shared" si="174"/>
        <v>172.95849999999999</v>
      </c>
      <c r="I295" s="114" t="s">
        <v>82</v>
      </c>
      <c r="J295" s="31">
        <f>0.89*40</f>
        <v>35.6</v>
      </c>
      <c r="K295" s="31">
        <f>1.86*40</f>
        <v>74.400000000000006</v>
      </c>
      <c r="L295" s="32">
        <f t="shared" si="175"/>
        <v>6157.3225999999995</v>
      </c>
      <c r="M295" s="32">
        <f t="shared" si="176"/>
        <v>12868.1124</v>
      </c>
      <c r="N295" s="32">
        <f t="shared" si="177"/>
        <v>19025.434999999998</v>
      </c>
      <c r="O295" s="35"/>
      <c r="P295" s="3"/>
    </row>
    <row r="296" spans="1:16" s="4" customFormat="1" x14ac:dyDescent="0.25">
      <c r="A296" s="34">
        <f>IF(I296&lt;&gt;"",1+MAX($A$40:A295),"")</f>
        <v>211</v>
      </c>
      <c r="B296" s="26"/>
      <c r="C296" s="26"/>
      <c r="D296" s="27"/>
      <c r="E296" s="113" t="s">
        <v>209</v>
      </c>
      <c r="F296" s="124">
        <v>157.23499999999999</v>
      </c>
      <c r="G296" s="36">
        <v>0.1</v>
      </c>
      <c r="H296" s="29">
        <f t="shared" si="174"/>
        <v>172.95849999999999</v>
      </c>
      <c r="I296" s="114" t="s">
        <v>82</v>
      </c>
      <c r="J296" s="31">
        <f>0.98*40</f>
        <v>39.200000000000003</v>
      </c>
      <c r="K296" s="31">
        <f>2.02*40</f>
        <v>80.8</v>
      </c>
      <c r="L296" s="32">
        <f t="shared" si="175"/>
        <v>6779.9732000000004</v>
      </c>
      <c r="M296" s="32">
        <f t="shared" si="176"/>
        <v>13975.046799999998</v>
      </c>
      <c r="N296" s="32">
        <f t="shared" si="177"/>
        <v>20755.019999999997</v>
      </c>
      <c r="O296" s="35"/>
      <c r="P296" s="3"/>
    </row>
    <row r="297" spans="1:16" s="4" customFormat="1" x14ac:dyDescent="0.25">
      <c r="A297" s="34">
        <f>IF(I297&lt;&gt;"",1+MAX($A$40:A296),"")</f>
        <v>212</v>
      </c>
      <c r="B297" s="26"/>
      <c r="C297" s="26"/>
      <c r="D297" s="27"/>
      <c r="E297" s="113" t="s">
        <v>210</v>
      </c>
      <c r="F297" s="124">
        <v>13.324999999999999</v>
      </c>
      <c r="G297" s="36">
        <v>0.1</v>
      </c>
      <c r="H297" s="29">
        <f t="shared" si="174"/>
        <v>14.657500000000001</v>
      </c>
      <c r="I297" s="114" t="s">
        <v>82</v>
      </c>
      <c r="J297" s="31">
        <f>2.85*32</f>
        <v>91.2</v>
      </c>
      <c r="K297" s="31">
        <f>1.9*32</f>
        <v>60.8</v>
      </c>
      <c r="L297" s="32">
        <f t="shared" si="175"/>
        <v>1336.7640000000001</v>
      </c>
      <c r="M297" s="32">
        <f t="shared" si="176"/>
        <v>891.17600000000004</v>
      </c>
      <c r="N297" s="32">
        <f t="shared" si="177"/>
        <v>2227.94</v>
      </c>
      <c r="O297" s="35"/>
      <c r="P297" s="3"/>
    </row>
    <row r="298" spans="1:16" s="4" customFormat="1" x14ac:dyDescent="0.25">
      <c r="A298" s="34">
        <f>IF(I298&lt;&gt;"",1+MAX($A$40:A297),"")</f>
        <v>213</v>
      </c>
      <c r="B298" s="26"/>
      <c r="C298" s="26"/>
      <c r="D298" s="27"/>
      <c r="E298" s="113" t="s">
        <v>211</v>
      </c>
      <c r="F298" s="124">
        <v>6289.4</v>
      </c>
      <c r="G298" s="36">
        <v>0.1</v>
      </c>
      <c r="H298" s="29">
        <f t="shared" si="174"/>
        <v>6918.34</v>
      </c>
      <c r="I298" s="114" t="s">
        <v>81</v>
      </c>
      <c r="J298" s="31">
        <v>1.93</v>
      </c>
      <c r="K298" s="31">
        <v>0.98</v>
      </c>
      <c r="L298" s="32">
        <f t="shared" si="175"/>
        <v>13352.396199999999</v>
      </c>
      <c r="M298" s="32">
        <f t="shared" si="176"/>
        <v>6779.9732000000004</v>
      </c>
      <c r="N298" s="32">
        <f t="shared" si="177"/>
        <v>20132.3694</v>
      </c>
      <c r="O298" s="35"/>
      <c r="P298" s="3"/>
    </row>
    <row r="299" spans="1:16" s="4" customFormat="1" x14ac:dyDescent="0.25">
      <c r="A299" s="34">
        <f>IF(I299&lt;&gt;"",1+MAX($A$40:A298),"")</f>
        <v>214</v>
      </c>
      <c r="B299" s="26"/>
      <c r="C299" s="26"/>
      <c r="D299" s="27"/>
      <c r="E299" s="113" t="s">
        <v>94</v>
      </c>
      <c r="F299" s="124">
        <v>426.4</v>
      </c>
      <c r="G299" s="36">
        <v>0.1</v>
      </c>
      <c r="H299" s="29">
        <f t="shared" si="174"/>
        <v>469.04</v>
      </c>
      <c r="I299" s="114" t="s">
        <v>80</v>
      </c>
      <c r="J299" s="31">
        <v>0.2</v>
      </c>
      <c r="K299" s="31">
        <v>0.6</v>
      </c>
      <c r="L299" s="32">
        <f t="shared" si="175"/>
        <v>93.808000000000007</v>
      </c>
      <c r="M299" s="32">
        <f t="shared" si="176"/>
        <v>281.42399999999998</v>
      </c>
      <c r="N299" s="32">
        <f t="shared" si="177"/>
        <v>375.23199999999997</v>
      </c>
      <c r="O299" s="35"/>
      <c r="P299" s="3"/>
    </row>
    <row r="300" spans="1:16" s="4" customFormat="1" x14ac:dyDescent="0.25">
      <c r="A300" s="34" t="str">
        <f>IF(I300&lt;&gt;"",1+MAX($A$40:A299),"")</f>
        <v/>
      </c>
      <c r="B300" s="26"/>
      <c r="C300" s="26"/>
      <c r="D300" s="27"/>
      <c r="E300" s="112" t="s">
        <v>212</v>
      </c>
      <c r="F300" s="124"/>
      <c r="G300" s="36"/>
      <c r="H300" s="29" t="str">
        <f t="shared" si="174"/>
        <v/>
      </c>
      <c r="I300" s="114"/>
      <c r="J300" s="31"/>
      <c r="K300" s="31"/>
      <c r="L300" s="32" t="str">
        <f t="shared" si="175"/>
        <v/>
      </c>
      <c r="M300" s="32" t="str">
        <f t="shared" si="176"/>
        <v/>
      </c>
      <c r="N300" s="32" t="str">
        <f t="shared" si="177"/>
        <v/>
      </c>
      <c r="O300" s="35"/>
      <c r="P300" s="3"/>
    </row>
    <row r="301" spans="1:16" s="4" customFormat="1" x14ac:dyDescent="0.25">
      <c r="A301" s="34">
        <f>IF(I301&lt;&gt;"",1+MAX($A$40:A300),"")</f>
        <v>215</v>
      </c>
      <c r="B301" s="26"/>
      <c r="C301" s="26"/>
      <c r="D301" s="27"/>
      <c r="E301" s="113" t="s">
        <v>204</v>
      </c>
      <c r="F301" s="124">
        <v>25.75</v>
      </c>
      <c r="G301" s="36">
        <v>0.1</v>
      </c>
      <c r="H301" s="29">
        <f t="shared" si="174"/>
        <v>28.325000000000003</v>
      </c>
      <c r="I301" s="114" t="s">
        <v>80</v>
      </c>
      <c r="J301" s="31">
        <f>4.54*16</f>
        <v>72.64</v>
      </c>
      <c r="K301" s="31">
        <f>3.96*16</f>
        <v>63.36</v>
      </c>
      <c r="L301" s="32">
        <f t="shared" si="175"/>
        <v>2057.5280000000002</v>
      </c>
      <c r="M301" s="32">
        <f t="shared" si="176"/>
        <v>1794.6720000000003</v>
      </c>
      <c r="N301" s="32">
        <f t="shared" si="177"/>
        <v>3852.2000000000007</v>
      </c>
      <c r="O301" s="35"/>
      <c r="P301" s="3"/>
    </row>
    <row r="302" spans="1:16" s="4" customFormat="1" x14ac:dyDescent="0.25">
      <c r="A302" s="34">
        <f>IF(I302&lt;&gt;"",1+MAX($A$40:A301),"")</f>
        <v>216</v>
      </c>
      <c r="B302" s="26"/>
      <c r="C302" s="26"/>
      <c r="D302" s="27"/>
      <c r="E302" s="113" t="s">
        <v>213</v>
      </c>
      <c r="F302" s="124">
        <v>78.443609022556387</v>
      </c>
      <c r="G302" s="36">
        <v>0.1</v>
      </c>
      <c r="H302" s="29">
        <f t="shared" si="174"/>
        <v>86.287969924812032</v>
      </c>
      <c r="I302" s="114" t="s">
        <v>79</v>
      </c>
      <c r="J302" s="31">
        <f>3.48*10</f>
        <v>34.799999999999997</v>
      </c>
      <c r="K302" s="31">
        <f>2.52*10</f>
        <v>25.2</v>
      </c>
      <c r="L302" s="32">
        <f t="shared" si="175"/>
        <v>3002.8213533834582</v>
      </c>
      <c r="M302" s="32">
        <f t="shared" si="176"/>
        <v>2174.4568421052631</v>
      </c>
      <c r="N302" s="32">
        <f t="shared" si="177"/>
        <v>5177.2781954887214</v>
      </c>
      <c r="O302" s="35"/>
      <c r="P302" s="3"/>
    </row>
    <row r="303" spans="1:16" s="4" customFormat="1" x14ac:dyDescent="0.25">
      <c r="A303" s="34">
        <f>IF(I303&lt;&gt;"",1+MAX($A$40:A302),"")</f>
        <v>217</v>
      </c>
      <c r="B303" s="26"/>
      <c r="C303" s="26"/>
      <c r="D303" s="27"/>
      <c r="E303" s="113" t="s">
        <v>214</v>
      </c>
      <c r="F303" s="124">
        <v>78.443609022556387</v>
      </c>
      <c r="G303" s="36">
        <v>0.1</v>
      </c>
      <c r="H303" s="29">
        <f t="shared" si="174"/>
        <v>86.287969924812032</v>
      </c>
      <c r="I303" s="114" t="s">
        <v>79</v>
      </c>
      <c r="J303" s="31">
        <f>3.48*20.66</f>
        <v>71.896799999999999</v>
      </c>
      <c r="K303" s="31">
        <f>2.52*20.66</f>
        <v>52.063200000000002</v>
      </c>
      <c r="L303" s="32">
        <f t="shared" si="175"/>
        <v>6203.8289160902259</v>
      </c>
      <c r="M303" s="32">
        <f t="shared" si="176"/>
        <v>4492.4278357894736</v>
      </c>
      <c r="N303" s="32">
        <f t="shared" si="177"/>
        <v>10696.2567518797</v>
      </c>
      <c r="O303" s="35"/>
      <c r="P303" s="3"/>
    </row>
    <row r="304" spans="1:16" s="4" customFormat="1" x14ac:dyDescent="0.25">
      <c r="A304" s="34">
        <f>IF(I304&lt;&gt;"",1+MAX($A$40:A303),"")</f>
        <v>218</v>
      </c>
      <c r="B304" s="26"/>
      <c r="C304" s="26"/>
      <c r="D304" s="27"/>
      <c r="E304" s="113" t="s">
        <v>206</v>
      </c>
      <c r="F304" s="124">
        <v>12.875</v>
      </c>
      <c r="G304" s="36">
        <v>0.1</v>
      </c>
      <c r="H304" s="29">
        <f t="shared" si="174"/>
        <v>14.162500000000001</v>
      </c>
      <c r="I304" s="114" t="s">
        <v>79</v>
      </c>
      <c r="J304" s="31">
        <f t="shared" ref="J304" si="179">2.03*16</f>
        <v>32.479999999999997</v>
      </c>
      <c r="K304" s="31">
        <v>36.799999999999997</v>
      </c>
      <c r="L304" s="32">
        <f t="shared" si="175"/>
        <v>459.99799999999999</v>
      </c>
      <c r="M304" s="32">
        <f t="shared" si="176"/>
        <v>521.18000000000006</v>
      </c>
      <c r="N304" s="32">
        <f t="shared" si="177"/>
        <v>981.17800000000011</v>
      </c>
      <c r="O304" s="35"/>
      <c r="P304" s="3"/>
    </row>
    <row r="305" spans="1:16" s="4" customFormat="1" x14ac:dyDescent="0.25">
      <c r="A305" s="34">
        <f>IF(I305&lt;&gt;"",1+MAX($A$40:A304),"")</f>
        <v>219</v>
      </c>
      <c r="B305" s="26"/>
      <c r="C305" s="26"/>
      <c r="D305" s="27"/>
      <c r="E305" s="113" t="s">
        <v>207</v>
      </c>
      <c r="F305" s="124">
        <v>78.443609022556387</v>
      </c>
      <c r="G305" s="36">
        <v>0.1</v>
      </c>
      <c r="H305" s="29">
        <f t="shared" si="174"/>
        <v>86.287969924812032</v>
      </c>
      <c r="I305" s="114" t="s">
        <v>79</v>
      </c>
      <c r="J305" s="31">
        <f>1.34*2</f>
        <v>2.68</v>
      </c>
      <c r="K305" s="31">
        <f>1.39*2</f>
        <v>2.78</v>
      </c>
      <c r="L305" s="32">
        <f t="shared" si="175"/>
        <v>231.25175939849626</v>
      </c>
      <c r="M305" s="32">
        <f t="shared" si="176"/>
        <v>239.88055639097743</v>
      </c>
      <c r="N305" s="32">
        <f t="shared" si="177"/>
        <v>471.13231578947369</v>
      </c>
      <c r="O305" s="35"/>
      <c r="P305" s="3"/>
    </row>
    <row r="306" spans="1:16" s="4" customFormat="1" x14ac:dyDescent="0.25">
      <c r="A306" s="34">
        <f>IF(I306&lt;&gt;"",1+MAX($A$40:A305),"")</f>
        <v>220</v>
      </c>
      <c r="B306" s="26"/>
      <c r="C306" s="26"/>
      <c r="D306" s="27"/>
      <c r="E306" s="113" t="s">
        <v>215</v>
      </c>
      <c r="F306" s="124">
        <v>75.962500000000006</v>
      </c>
      <c r="G306" s="36">
        <v>0.1</v>
      </c>
      <c r="H306" s="29">
        <f t="shared" si="174"/>
        <v>83.558750000000018</v>
      </c>
      <c r="I306" s="114" t="s">
        <v>82</v>
      </c>
      <c r="J306" s="31">
        <f>0.89*40</f>
        <v>35.6</v>
      </c>
      <c r="K306" s="31">
        <f>1.86*40</f>
        <v>74.400000000000006</v>
      </c>
      <c r="L306" s="32">
        <f t="shared" si="175"/>
        <v>2974.6915000000008</v>
      </c>
      <c r="M306" s="32">
        <f t="shared" si="176"/>
        <v>6216.7710000000015</v>
      </c>
      <c r="N306" s="32">
        <f t="shared" si="177"/>
        <v>9191.4625000000015</v>
      </c>
      <c r="O306" s="35"/>
      <c r="P306" s="3"/>
    </row>
    <row r="307" spans="1:16" s="4" customFormat="1" x14ac:dyDescent="0.25">
      <c r="A307" s="34">
        <f>IF(I307&lt;&gt;"",1+MAX($A$40:A306),"")</f>
        <v>221</v>
      </c>
      <c r="B307" s="26"/>
      <c r="C307" s="26"/>
      <c r="D307" s="27"/>
      <c r="E307" s="113" t="s">
        <v>216</v>
      </c>
      <c r="F307" s="124">
        <v>71.456249999999997</v>
      </c>
      <c r="G307" s="36">
        <v>0.1</v>
      </c>
      <c r="H307" s="29">
        <f t="shared" si="174"/>
        <v>78.601875000000007</v>
      </c>
      <c r="I307" s="114" t="s">
        <v>82</v>
      </c>
      <c r="J307" s="31">
        <f>0.98*40</f>
        <v>39.200000000000003</v>
      </c>
      <c r="K307" s="31">
        <f>2.02*40</f>
        <v>80.8</v>
      </c>
      <c r="L307" s="32">
        <f t="shared" si="175"/>
        <v>3081.1935000000003</v>
      </c>
      <c r="M307" s="32">
        <f t="shared" si="176"/>
        <v>6351.0315000000001</v>
      </c>
      <c r="N307" s="32">
        <f t="shared" si="177"/>
        <v>9432.2250000000004</v>
      </c>
      <c r="O307" s="35"/>
      <c r="P307" s="3"/>
    </row>
    <row r="308" spans="1:16" s="4" customFormat="1" x14ac:dyDescent="0.25">
      <c r="A308" s="34">
        <f>IF(I308&lt;&gt;"",1+MAX($A$40:A307),"")</f>
        <v>222</v>
      </c>
      <c r="B308" s="26"/>
      <c r="C308" s="26"/>
      <c r="D308" s="27"/>
      <c r="E308" s="113" t="s">
        <v>217</v>
      </c>
      <c r="F308" s="124">
        <v>9.65625</v>
      </c>
      <c r="G308" s="36">
        <v>0.1</v>
      </c>
      <c r="H308" s="29">
        <f t="shared" si="174"/>
        <v>10.621875000000001</v>
      </c>
      <c r="I308" s="114" t="s">
        <v>82</v>
      </c>
      <c r="J308" s="31">
        <f>2.85*32</f>
        <v>91.2</v>
      </c>
      <c r="K308" s="31">
        <f>1.9*32</f>
        <v>60.8</v>
      </c>
      <c r="L308" s="32">
        <f t="shared" si="175"/>
        <v>968.71500000000015</v>
      </c>
      <c r="M308" s="32">
        <f t="shared" si="176"/>
        <v>645.81000000000006</v>
      </c>
      <c r="N308" s="32">
        <f t="shared" si="177"/>
        <v>1614.5250000000001</v>
      </c>
      <c r="O308" s="35"/>
      <c r="P308" s="3"/>
    </row>
    <row r="309" spans="1:16" s="4" customFormat="1" x14ac:dyDescent="0.25">
      <c r="A309" s="34">
        <f>IF(I309&lt;&gt;"",1+MAX($A$40:A308),"")</f>
        <v>223</v>
      </c>
      <c r="B309" s="26"/>
      <c r="C309" s="26"/>
      <c r="D309" s="27"/>
      <c r="E309" s="113" t="s">
        <v>211</v>
      </c>
      <c r="F309" s="124">
        <v>3038.5</v>
      </c>
      <c r="G309" s="36">
        <v>0.1</v>
      </c>
      <c r="H309" s="29">
        <f t="shared" si="174"/>
        <v>3342.3500000000004</v>
      </c>
      <c r="I309" s="114" t="s">
        <v>81</v>
      </c>
      <c r="J309" s="31">
        <v>1.93</v>
      </c>
      <c r="K309" s="31">
        <v>0.98</v>
      </c>
      <c r="L309" s="32">
        <f t="shared" si="175"/>
        <v>6450.7355000000007</v>
      </c>
      <c r="M309" s="32">
        <f t="shared" si="176"/>
        <v>3275.5030000000002</v>
      </c>
      <c r="N309" s="32">
        <f t="shared" si="177"/>
        <v>9726.2385000000013</v>
      </c>
      <c r="O309" s="35"/>
      <c r="P309" s="3"/>
    </row>
    <row r="310" spans="1:16" s="4" customFormat="1" x14ac:dyDescent="0.25">
      <c r="A310" s="34">
        <f>IF(I310&lt;&gt;"",1+MAX($A$40:A309),"")</f>
        <v>224</v>
      </c>
      <c r="B310" s="26"/>
      <c r="C310" s="26"/>
      <c r="D310" s="27"/>
      <c r="E310" s="113" t="s">
        <v>94</v>
      </c>
      <c r="F310" s="124">
        <v>206</v>
      </c>
      <c r="G310" s="36">
        <v>0.1</v>
      </c>
      <c r="H310" s="29">
        <f t="shared" si="174"/>
        <v>226.60000000000002</v>
      </c>
      <c r="I310" s="114" t="s">
        <v>80</v>
      </c>
      <c r="J310" s="31">
        <v>0.2</v>
      </c>
      <c r="K310" s="31">
        <v>0.6</v>
      </c>
      <c r="L310" s="32">
        <f t="shared" si="175"/>
        <v>45.320000000000007</v>
      </c>
      <c r="M310" s="32">
        <f t="shared" si="176"/>
        <v>135.96</v>
      </c>
      <c r="N310" s="32">
        <f t="shared" si="177"/>
        <v>181.28000000000003</v>
      </c>
      <c r="O310" s="35"/>
      <c r="P310" s="3"/>
    </row>
    <row r="311" spans="1:16" s="4" customFormat="1" x14ac:dyDescent="0.25">
      <c r="A311" s="34" t="str">
        <f>IF(I311&lt;&gt;"",1+MAX($A$40:A310),"")</f>
        <v/>
      </c>
      <c r="B311" s="26"/>
      <c r="C311" s="26"/>
      <c r="D311" s="27"/>
      <c r="E311" s="112" t="s">
        <v>218</v>
      </c>
      <c r="F311" s="124"/>
      <c r="G311" s="36"/>
      <c r="H311" s="29" t="str">
        <f t="shared" si="174"/>
        <v/>
      </c>
      <c r="I311" s="114"/>
      <c r="J311" s="31"/>
      <c r="K311" s="31"/>
      <c r="L311" s="32" t="str">
        <f t="shared" si="175"/>
        <v/>
      </c>
      <c r="M311" s="32" t="str">
        <f t="shared" si="176"/>
        <v/>
      </c>
      <c r="N311" s="32" t="str">
        <f t="shared" si="177"/>
        <v/>
      </c>
      <c r="O311" s="35"/>
      <c r="P311" s="3"/>
    </row>
    <row r="312" spans="1:16" s="4" customFormat="1" x14ac:dyDescent="0.25">
      <c r="A312" s="34">
        <f>IF(I312&lt;&gt;"",1+MAX($A$40:A311),"")</f>
        <v>225</v>
      </c>
      <c r="B312" s="26"/>
      <c r="C312" s="26"/>
      <c r="D312" s="27"/>
      <c r="E312" s="113" t="s">
        <v>204</v>
      </c>
      <c r="F312" s="124">
        <v>3.3525</v>
      </c>
      <c r="G312" s="36">
        <v>0.1</v>
      </c>
      <c r="H312" s="29">
        <f t="shared" si="174"/>
        <v>3.6877500000000003</v>
      </c>
      <c r="I312" s="114" t="s">
        <v>80</v>
      </c>
      <c r="J312" s="31">
        <f>4.54*16</f>
        <v>72.64</v>
      </c>
      <c r="K312" s="31">
        <f>3.96*16</f>
        <v>63.36</v>
      </c>
      <c r="L312" s="32">
        <f t="shared" si="175"/>
        <v>267.87816000000004</v>
      </c>
      <c r="M312" s="32">
        <f t="shared" si="176"/>
        <v>233.65584000000001</v>
      </c>
      <c r="N312" s="32">
        <f t="shared" si="177"/>
        <v>501.53400000000005</v>
      </c>
      <c r="O312" s="35"/>
      <c r="P312" s="3"/>
    </row>
    <row r="313" spans="1:16" s="4" customFormat="1" x14ac:dyDescent="0.25">
      <c r="A313" s="34">
        <f>IF(I313&lt;&gt;"",1+MAX($A$40:A312),"")</f>
        <v>226</v>
      </c>
      <c r="B313" s="26"/>
      <c r="C313" s="26"/>
      <c r="D313" s="27"/>
      <c r="E313" s="113" t="s">
        <v>213</v>
      </c>
      <c r="F313" s="124">
        <v>21.165413533834585</v>
      </c>
      <c r="G313" s="36">
        <v>0.1</v>
      </c>
      <c r="H313" s="29">
        <f t="shared" si="174"/>
        <v>23.281954887218046</v>
      </c>
      <c r="I313" s="114" t="s">
        <v>80</v>
      </c>
      <c r="J313" s="31">
        <f>3.48*10</f>
        <v>34.799999999999997</v>
      </c>
      <c r="K313" s="31">
        <f>2.52*10</f>
        <v>25.2</v>
      </c>
      <c r="L313" s="32">
        <f t="shared" si="175"/>
        <v>810.21203007518795</v>
      </c>
      <c r="M313" s="32">
        <f t="shared" si="176"/>
        <v>586.70526315789471</v>
      </c>
      <c r="N313" s="32">
        <f t="shared" si="177"/>
        <v>1396.9172932330825</v>
      </c>
      <c r="O313" s="35"/>
      <c r="P313" s="3"/>
    </row>
    <row r="314" spans="1:16" s="4" customFormat="1" x14ac:dyDescent="0.25">
      <c r="A314" s="34">
        <f>IF(I314&lt;&gt;"",1+MAX($A$40:A313),"")</f>
        <v>227</v>
      </c>
      <c r="B314" s="26"/>
      <c r="C314" s="26"/>
      <c r="D314" s="27"/>
      <c r="E314" s="113" t="s">
        <v>206</v>
      </c>
      <c r="F314" s="124">
        <v>3.3525</v>
      </c>
      <c r="G314" s="36">
        <v>0.1</v>
      </c>
      <c r="H314" s="29">
        <f t="shared" si="174"/>
        <v>3.6877500000000003</v>
      </c>
      <c r="I314" s="114" t="s">
        <v>80</v>
      </c>
      <c r="J314" s="31">
        <f t="shared" ref="J314" si="180">2.03*16</f>
        <v>32.479999999999997</v>
      </c>
      <c r="K314" s="31">
        <v>36.799999999999997</v>
      </c>
      <c r="L314" s="32">
        <f t="shared" si="175"/>
        <v>119.77812</v>
      </c>
      <c r="M314" s="32">
        <f t="shared" si="176"/>
        <v>135.70920000000001</v>
      </c>
      <c r="N314" s="32">
        <f t="shared" si="177"/>
        <v>255.48732000000001</v>
      </c>
      <c r="O314" s="35"/>
      <c r="P314" s="3"/>
    </row>
    <row r="315" spans="1:16" s="4" customFormat="1" x14ac:dyDescent="0.25">
      <c r="A315" s="34">
        <f>IF(I315&lt;&gt;"",1+MAX($A$40:A314),"")</f>
        <v>228</v>
      </c>
      <c r="B315" s="26"/>
      <c r="C315" s="26"/>
      <c r="D315" s="27"/>
      <c r="E315" s="113" t="s">
        <v>207</v>
      </c>
      <c r="F315" s="124">
        <v>21.165413533834585</v>
      </c>
      <c r="G315" s="36">
        <v>0.1</v>
      </c>
      <c r="H315" s="29">
        <f t="shared" si="174"/>
        <v>23.281954887218046</v>
      </c>
      <c r="I315" s="114" t="s">
        <v>80</v>
      </c>
      <c r="J315" s="31">
        <f>1.34*2</f>
        <v>2.68</v>
      </c>
      <c r="K315" s="31">
        <f>1.39*2</f>
        <v>2.78</v>
      </c>
      <c r="L315" s="32">
        <f t="shared" si="175"/>
        <v>62.395639097744365</v>
      </c>
      <c r="M315" s="32">
        <f t="shared" si="176"/>
        <v>64.723834586466168</v>
      </c>
      <c r="N315" s="32">
        <f t="shared" si="177"/>
        <v>127.11947368421053</v>
      </c>
      <c r="O315" s="35"/>
      <c r="P315" s="3"/>
    </row>
    <row r="316" spans="1:16" s="4" customFormat="1" x14ac:dyDescent="0.25">
      <c r="A316" s="34">
        <f>IF(I316&lt;&gt;"",1+MAX($A$40:A315),"")</f>
        <v>229</v>
      </c>
      <c r="B316" s="26"/>
      <c r="C316" s="26"/>
      <c r="D316" s="27"/>
      <c r="E316" s="113" t="s">
        <v>219</v>
      </c>
      <c r="F316" s="124">
        <v>6.7050000000000001</v>
      </c>
      <c r="G316" s="36">
        <v>0.1</v>
      </c>
      <c r="H316" s="29">
        <f t="shared" si="174"/>
        <v>7.3755000000000006</v>
      </c>
      <c r="I316" s="114" t="s">
        <v>82</v>
      </c>
      <c r="J316" s="31">
        <f>0.89*40</f>
        <v>35.6</v>
      </c>
      <c r="K316" s="31">
        <f>1.86*40</f>
        <v>74.400000000000006</v>
      </c>
      <c r="L316" s="32">
        <f t="shared" si="175"/>
        <v>262.56780000000003</v>
      </c>
      <c r="M316" s="32">
        <f t="shared" si="176"/>
        <v>548.73720000000014</v>
      </c>
      <c r="N316" s="32">
        <f t="shared" si="177"/>
        <v>811.30500000000018</v>
      </c>
      <c r="O316" s="35"/>
      <c r="P316" s="3"/>
    </row>
    <row r="317" spans="1:16" s="4" customFormat="1" x14ac:dyDescent="0.25">
      <c r="A317" s="34">
        <f>IF(I317&lt;&gt;"",1+MAX($A$40:A316),"")</f>
        <v>230</v>
      </c>
      <c r="B317" s="26"/>
      <c r="C317" s="26"/>
      <c r="D317" s="27"/>
      <c r="E317" s="113" t="s">
        <v>220</v>
      </c>
      <c r="F317" s="124">
        <v>6.7050000000000001</v>
      </c>
      <c r="G317" s="36">
        <v>0.1</v>
      </c>
      <c r="H317" s="29">
        <f t="shared" si="174"/>
        <v>7.3755000000000006</v>
      </c>
      <c r="I317" s="114" t="s">
        <v>82</v>
      </c>
      <c r="J317" s="31">
        <f>0.98*40</f>
        <v>39.200000000000003</v>
      </c>
      <c r="K317" s="31">
        <f>2.02*40</f>
        <v>80.8</v>
      </c>
      <c r="L317" s="32">
        <f t="shared" si="175"/>
        <v>289.11960000000005</v>
      </c>
      <c r="M317" s="32">
        <f t="shared" si="176"/>
        <v>595.94040000000007</v>
      </c>
      <c r="N317" s="32">
        <f t="shared" si="177"/>
        <v>885.06000000000017</v>
      </c>
      <c r="O317" s="35"/>
      <c r="P317" s="3"/>
    </row>
    <row r="318" spans="1:16" s="4" customFormat="1" x14ac:dyDescent="0.25">
      <c r="A318" s="34">
        <f>IF(I318&lt;&gt;"",1+MAX($A$40:A317),"")</f>
        <v>231</v>
      </c>
      <c r="B318" s="26"/>
      <c r="C318" s="26"/>
      <c r="D318" s="27"/>
      <c r="E318" s="113" t="s">
        <v>221</v>
      </c>
      <c r="F318" s="124">
        <v>1.67625</v>
      </c>
      <c r="G318" s="36">
        <v>0.1</v>
      </c>
      <c r="H318" s="29">
        <f t="shared" si="174"/>
        <v>1.8438750000000002</v>
      </c>
      <c r="I318" s="114" t="s">
        <v>82</v>
      </c>
      <c r="J318" s="31">
        <f>2.85*32</f>
        <v>91.2</v>
      </c>
      <c r="K318" s="31">
        <f>1.9*32</f>
        <v>60.8</v>
      </c>
      <c r="L318" s="32">
        <f t="shared" si="175"/>
        <v>168.16140000000001</v>
      </c>
      <c r="M318" s="32">
        <f t="shared" si="176"/>
        <v>112.10760000000001</v>
      </c>
      <c r="N318" s="32">
        <f t="shared" si="177"/>
        <v>280.26900000000001</v>
      </c>
      <c r="O318" s="35"/>
      <c r="P318" s="3"/>
    </row>
    <row r="319" spans="1:16" s="4" customFormat="1" x14ac:dyDescent="0.25">
      <c r="A319" s="34">
        <f>IF(I319&lt;&gt;"",1+MAX($A$40:A318),"")</f>
        <v>232</v>
      </c>
      <c r="B319" s="26"/>
      <c r="C319" s="26"/>
      <c r="D319" s="27"/>
      <c r="E319" s="113" t="s">
        <v>211</v>
      </c>
      <c r="F319" s="124">
        <v>268.2</v>
      </c>
      <c r="G319" s="36">
        <v>0.1</v>
      </c>
      <c r="H319" s="29">
        <f t="shared" si="174"/>
        <v>295.02000000000004</v>
      </c>
      <c r="I319" s="114" t="s">
        <v>81</v>
      </c>
      <c r="J319" s="31">
        <v>1.93</v>
      </c>
      <c r="K319" s="31">
        <v>0.98</v>
      </c>
      <c r="L319" s="32">
        <f t="shared" si="175"/>
        <v>569.38860000000011</v>
      </c>
      <c r="M319" s="32">
        <f t="shared" si="176"/>
        <v>289.11960000000005</v>
      </c>
      <c r="N319" s="32">
        <f t="shared" si="177"/>
        <v>858.50820000000022</v>
      </c>
      <c r="O319" s="35"/>
      <c r="P319" s="3"/>
    </row>
    <row r="320" spans="1:16" s="4" customFormat="1" x14ac:dyDescent="0.25">
      <c r="A320" s="34">
        <f>IF(I320&lt;&gt;"",1+MAX($A$40:A319),"")</f>
        <v>233</v>
      </c>
      <c r="B320" s="26"/>
      <c r="C320" s="26"/>
      <c r="D320" s="27"/>
      <c r="E320" s="113" t="s">
        <v>94</v>
      </c>
      <c r="F320" s="124">
        <v>53.64</v>
      </c>
      <c r="G320" s="36">
        <v>0.1</v>
      </c>
      <c r="H320" s="29">
        <f t="shared" si="174"/>
        <v>59.004000000000005</v>
      </c>
      <c r="I320" s="114" t="s">
        <v>80</v>
      </c>
      <c r="J320" s="31">
        <v>0.2</v>
      </c>
      <c r="K320" s="31">
        <v>0.6</v>
      </c>
      <c r="L320" s="32">
        <f t="shared" si="175"/>
        <v>11.800800000000002</v>
      </c>
      <c r="M320" s="32">
        <f t="shared" si="176"/>
        <v>35.4024</v>
      </c>
      <c r="N320" s="32">
        <f t="shared" si="177"/>
        <v>47.203200000000002</v>
      </c>
      <c r="O320" s="35"/>
      <c r="P320" s="3"/>
    </row>
    <row r="321" spans="1:16" s="4" customFormat="1" x14ac:dyDescent="0.25">
      <c r="A321" s="34" t="str">
        <f>IF(I321&lt;&gt;"",1+MAX($A$40:A320),"")</f>
        <v/>
      </c>
      <c r="B321" s="26"/>
      <c r="C321" s="26"/>
      <c r="D321" s="27"/>
      <c r="E321" s="112" t="s">
        <v>222</v>
      </c>
      <c r="F321" s="124"/>
      <c r="G321" s="36"/>
      <c r="H321" s="29" t="str">
        <f t="shared" si="174"/>
        <v/>
      </c>
      <c r="I321" s="114"/>
      <c r="J321" s="31"/>
      <c r="K321" s="31"/>
      <c r="L321" s="32" t="str">
        <f t="shared" si="175"/>
        <v/>
      </c>
      <c r="M321" s="32" t="str">
        <f t="shared" si="176"/>
        <v/>
      </c>
      <c r="N321" s="32" t="str">
        <f t="shared" si="177"/>
        <v/>
      </c>
      <c r="O321" s="35"/>
      <c r="P321" s="3"/>
    </row>
    <row r="322" spans="1:16" s="4" customFormat="1" x14ac:dyDescent="0.25">
      <c r="A322" s="34">
        <f>IF(I322&lt;&gt;"",1+MAX($A$40:A321),"")</f>
        <v>234</v>
      </c>
      <c r="B322" s="26"/>
      <c r="C322" s="26"/>
      <c r="D322" s="27"/>
      <c r="E322" s="113" t="s">
        <v>204</v>
      </c>
      <c r="F322" s="124">
        <v>10.602499999999999</v>
      </c>
      <c r="G322" s="36">
        <v>0.1</v>
      </c>
      <c r="H322" s="29">
        <f t="shared" si="174"/>
        <v>11.662750000000001</v>
      </c>
      <c r="I322" s="114" t="s">
        <v>80</v>
      </c>
      <c r="J322" s="31">
        <f>4.54*16</f>
        <v>72.64</v>
      </c>
      <c r="K322" s="31">
        <f>3.96*16</f>
        <v>63.36</v>
      </c>
      <c r="L322" s="32">
        <f t="shared" si="175"/>
        <v>847.18216000000007</v>
      </c>
      <c r="M322" s="32">
        <f t="shared" si="176"/>
        <v>738.95184000000006</v>
      </c>
      <c r="N322" s="32">
        <f t="shared" si="177"/>
        <v>1586.134</v>
      </c>
      <c r="O322" s="35"/>
      <c r="P322" s="3"/>
    </row>
    <row r="323" spans="1:16" s="4" customFormat="1" x14ac:dyDescent="0.25">
      <c r="A323" s="34">
        <f>IF(I323&lt;&gt;"",1+MAX($A$40:A322),"")</f>
        <v>235</v>
      </c>
      <c r="B323" s="26"/>
      <c r="C323" s="26"/>
      <c r="D323" s="27"/>
      <c r="E323" s="113" t="s">
        <v>214</v>
      </c>
      <c r="F323" s="124">
        <v>32.887218045112775</v>
      </c>
      <c r="G323" s="36">
        <v>0.1</v>
      </c>
      <c r="H323" s="29">
        <f t="shared" si="174"/>
        <v>36.175939849624058</v>
      </c>
      <c r="I323" s="114" t="s">
        <v>79</v>
      </c>
      <c r="J323" s="31">
        <f>3.48*20.66</f>
        <v>71.896799999999999</v>
      </c>
      <c r="K323" s="31">
        <f>2.52*20.66</f>
        <v>52.063200000000002</v>
      </c>
      <c r="L323" s="32">
        <f t="shared" si="175"/>
        <v>2600.9343121804509</v>
      </c>
      <c r="M323" s="32">
        <f t="shared" si="176"/>
        <v>1883.4351915789473</v>
      </c>
      <c r="N323" s="32">
        <f t="shared" si="177"/>
        <v>4484.369503759398</v>
      </c>
      <c r="O323" s="35"/>
      <c r="P323" s="3"/>
    </row>
    <row r="324" spans="1:16" s="4" customFormat="1" x14ac:dyDescent="0.25">
      <c r="A324" s="34">
        <f>IF(I324&lt;&gt;"",1+MAX($A$40:A323),"")</f>
        <v>236</v>
      </c>
      <c r="B324" s="26"/>
      <c r="C324" s="26"/>
      <c r="D324" s="27"/>
      <c r="E324" s="113" t="s">
        <v>206</v>
      </c>
      <c r="F324" s="124">
        <v>5.3012499999999996</v>
      </c>
      <c r="G324" s="36">
        <v>0.1</v>
      </c>
      <c r="H324" s="29">
        <f t="shared" si="174"/>
        <v>5.8313750000000004</v>
      </c>
      <c r="I324" s="114" t="s">
        <v>79</v>
      </c>
      <c r="J324" s="31">
        <f t="shared" ref="J324" si="181">2.03*16</f>
        <v>32.479999999999997</v>
      </c>
      <c r="K324" s="31">
        <v>36.799999999999997</v>
      </c>
      <c r="L324" s="32">
        <f t="shared" si="175"/>
        <v>189.40305999999998</v>
      </c>
      <c r="M324" s="32">
        <f t="shared" si="176"/>
        <v>214.59459999999999</v>
      </c>
      <c r="N324" s="32">
        <f t="shared" si="177"/>
        <v>403.99766</v>
      </c>
      <c r="O324" s="35"/>
      <c r="P324" s="3"/>
    </row>
    <row r="325" spans="1:16" s="4" customFormat="1" x14ac:dyDescent="0.25">
      <c r="A325" s="34">
        <f>IF(I325&lt;&gt;"",1+MAX($A$40:A324),"")</f>
        <v>237</v>
      </c>
      <c r="B325" s="26"/>
      <c r="C325" s="26"/>
      <c r="D325" s="27"/>
      <c r="E325" s="113" t="s">
        <v>207</v>
      </c>
      <c r="F325" s="124">
        <v>32.887218045112775</v>
      </c>
      <c r="G325" s="36">
        <v>0.1</v>
      </c>
      <c r="H325" s="29">
        <f t="shared" si="174"/>
        <v>36.175939849624058</v>
      </c>
      <c r="I325" s="114" t="s">
        <v>79</v>
      </c>
      <c r="J325" s="31">
        <f>1.34*2</f>
        <v>2.68</v>
      </c>
      <c r="K325" s="31">
        <f>1.39*2</f>
        <v>2.78</v>
      </c>
      <c r="L325" s="32">
        <f t="shared" si="175"/>
        <v>96.951518796992474</v>
      </c>
      <c r="M325" s="32">
        <f t="shared" si="176"/>
        <v>100.56911278195487</v>
      </c>
      <c r="N325" s="32">
        <f t="shared" si="177"/>
        <v>197.52063157894736</v>
      </c>
      <c r="O325" s="35"/>
      <c r="P325" s="3"/>
    </row>
    <row r="326" spans="1:16" s="4" customFormat="1" x14ac:dyDescent="0.25">
      <c r="A326" s="34">
        <f>IF(I326&lt;&gt;"",1+MAX($A$40:A325),"")</f>
        <v>238</v>
      </c>
      <c r="B326" s="26"/>
      <c r="C326" s="26"/>
      <c r="D326" s="27"/>
      <c r="E326" s="113" t="s">
        <v>223</v>
      </c>
      <c r="F326" s="124">
        <v>21.915367499999999</v>
      </c>
      <c r="G326" s="36">
        <v>0.1</v>
      </c>
      <c r="H326" s="29">
        <f t="shared" si="174"/>
        <v>24.106904249999999</v>
      </c>
      <c r="I326" s="114" t="s">
        <v>82</v>
      </c>
      <c r="J326" s="31">
        <f>0.89*40</f>
        <v>35.6</v>
      </c>
      <c r="K326" s="31">
        <f>1.86*40</f>
        <v>74.400000000000006</v>
      </c>
      <c r="L326" s="32">
        <f t="shared" si="175"/>
        <v>858.20579129999999</v>
      </c>
      <c r="M326" s="32">
        <f t="shared" si="176"/>
        <v>1793.5536762000002</v>
      </c>
      <c r="N326" s="32">
        <f t="shared" si="177"/>
        <v>2651.7594675</v>
      </c>
      <c r="O326" s="35"/>
      <c r="P326" s="3"/>
    </row>
    <row r="327" spans="1:16" s="4" customFormat="1" x14ac:dyDescent="0.25">
      <c r="A327" s="34">
        <f>IF(I327&lt;&gt;"",1+MAX($A$40:A326),"")</f>
        <v>239</v>
      </c>
      <c r="B327" s="26"/>
      <c r="C327" s="26"/>
      <c r="D327" s="27"/>
      <c r="E327" s="113" t="s">
        <v>224</v>
      </c>
      <c r="F327" s="124">
        <v>21.915367499999999</v>
      </c>
      <c r="G327" s="36">
        <v>0.1</v>
      </c>
      <c r="H327" s="29">
        <f t="shared" si="174"/>
        <v>24.106904249999999</v>
      </c>
      <c r="I327" s="114" t="s">
        <v>82</v>
      </c>
      <c r="J327" s="31">
        <f>0.98*40</f>
        <v>39.200000000000003</v>
      </c>
      <c r="K327" s="31">
        <f>2.02*40</f>
        <v>80.8</v>
      </c>
      <c r="L327" s="32">
        <f t="shared" si="175"/>
        <v>944.9906466000001</v>
      </c>
      <c r="M327" s="32">
        <f t="shared" si="176"/>
        <v>1947.8378633999998</v>
      </c>
      <c r="N327" s="32">
        <f t="shared" si="177"/>
        <v>2892.8285099999998</v>
      </c>
      <c r="O327" s="35"/>
      <c r="P327" s="3"/>
    </row>
    <row r="328" spans="1:16" s="4" customFormat="1" x14ac:dyDescent="0.25">
      <c r="A328" s="34">
        <f>IF(I328&lt;&gt;"",1+MAX($A$40:A327),"")</f>
        <v>240</v>
      </c>
      <c r="B328" s="26"/>
      <c r="C328" s="26"/>
      <c r="D328" s="27"/>
      <c r="E328" s="113" t="s">
        <v>225</v>
      </c>
      <c r="F328" s="124">
        <v>3.9759374999999997</v>
      </c>
      <c r="G328" s="36">
        <v>0.1</v>
      </c>
      <c r="H328" s="29">
        <f t="shared" si="174"/>
        <v>4.3735312500000001</v>
      </c>
      <c r="I328" s="114" t="s">
        <v>82</v>
      </c>
      <c r="J328" s="31">
        <f>2.85*32</f>
        <v>91.2</v>
      </c>
      <c r="K328" s="31">
        <f>1.9*32</f>
        <v>60.8</v>
      </c>
      <c r="L328" s="32">
        <f t="shared" si="175"/>
        <v>398.86605000000003</v>
      </c>
      <c r="M328" s="32">
        <f t="shared" si="176"/>
        <v>265.91070000000002</v>
      </c>
      <c r="N328" s="32">
        <f t="shared" si="177"/>
        <v>664.77674999999999</v>
      </c>
      <c r="O328" s="35"/>
      <c r="P328" s="3"/>
    </row>
    <row r="329" spans="1:16" s="4" customFormat="1" x14ac:dyDescent="0.25">
      <c r="A329" s="34">
        <f>IF(I329&lt;&gt;"",1+MAX($A$40:A328),"")</f>
        <v>241</v>
      </c>
      <c r="B329" s="26"/>
      <c r="C329" s="26"/>
      <c r="D329" s="27"/>
      <c r="E329" s="113" t="s">
        <v>211</v>
      </c>
      <c r="F329" s="124">
        <v>876.61469999999997</v>
      </c>
      <c r="G329" s="36">
        <v>0.1</v>
      </c>
      <c r="H329" s="29">
        <f t="shared" si="174"/>
        <v>964.27617000000009</v>
      </c>
      <c r="I329" s="114" t="s">
        <v>81</v>
      </c>
      <c r="J329" s="31">
        <v>1.93</v>
      </c>
      <c r="K329" s="31">
        <v>0.98</v>
      </c>
      <c r="L329" s="32">
        <f t="shared" si="175"/>
        <v>1861.0530081000002</v>
      </c>
      <c r="M329" s="32">
        <f t="shared" si="176"/>
        <v>944.9906466000001</v>
      </c>
      <c r="N329" s="32">
        <f t="shared" si="177"/>
        <v>2806.0436547000004</v>
      </c>
      <c r="O329" s="35"/>
      <c r="P329" s="3"/>
    </row>
    <row r="330" spans="1:16" s="4" customFormat="1" x14ac:dyDescent="0.25">
      <c r="A330" s="34">
        <f>IF(I330&lt;&gt;"",1+MAX($A$40:A329),"")</f>
        <v>242</v>
      </c>
      <c r="B330" s="26"/>
      <c r="C330" s="26"/>
      <c r="D330" s="27"/>
      <c r="E330" s="113" t="s">
        <v>94</v>
      </c>
      <c r="F330" s="124">
        <v>84.82</v>
      </c>
      <c r="G330" s="36">
        <v>0.1</v>
      </c>
      <c r="H330" s="29">
        <f t="shared" si="174"/>
        <v>93.302000000000007</v>
      </c>
      <c r="I330" s="114" t="s">
        <v>80</v>
      </c>
      <c r="J330" s="31">
        <v>0.2</v>
      </c>
      <c r="K330" s="31">
        <v>0.6</v>
      </c>
      <c r="L330" s="32">
        <f t="shared" si="175"/>
        <v>18.660400000000003</v>
      </c>
      <c r="M330" s="32">
        <f t="shared" si="176"/>
        <v>55.981200000000001</v>
      </c>
      <c r="N330" s="32">
        <f t="shared" si="177"/>
        <v>74.641600000000011</v>
      </c>
      <c r="O330" s="35"/>
      <c r="P330" s="3"/>
    </row>
    <row r="331" spans="1:16" s="4" customFormat="1" x14ac:dyDescent="0.25">
      <c r="A331" s="34" t="str">
        <f>IF(I331&lt;&gt;"",1+MAX($A$40:A330),"")</f>
        <v/>
      </c>
      <c r="B331" s="26"/>
      <c r="C331" s="26"/>
      <c r="D331" s="27"/>
      <c r="E331" s="112" t="s">
        <v>226</v>
      </c>
      <c r="F331" s="124"/>
      <c r="G331" s="36"/>
      <c r="H331" s="29" t="str">
        <f t="shared" si="174"/>
        <v/>
      </c>
      <c r="I331" s="114"/>
      <c r="J331" s="31"/>
      <c r="K331" s="31"/>
      <c r="L331" s="32" t="str">
        <f t="shared" si="175"/>
        <v/>
      </c>
      <c r="M331" s="32" t="str">
        <f t="shared" si="176"/>
        <v/>
      </c>
      <c r="N331" s="32" t="str">
        <f t="shared" si="177"/>
        <v/>
      </c>
      <c r="O331" s="35"/>
      <c r="P331" s="3"/>
    </row>
    <row r="332" spans="1:16" s="4" customFormat="1" x14ac:dyDescent="0.25">
      <c r="A332" s="34">
        <f>IF(I332&lt;&gt;"",1+MAX($A$40:A331),"")</f>
        <v>243</v>
      </c>
      <c r="B332" s="26"/>
      <c r="C332" s="26"/>
      <c r="D332" s="27"/>
      <c r="E332" s="113" t="s">
        <v>204</v>
      </c>
      <c r="F332" s="124">
        <v>7.3525</v>
      </c>
      <c r="G332" s="36">
        <v>0.1</v>
      </c>
      <c r="H332" s="29">
        <f t="shared" si="174"/>
        <v>8.0877500000000015</v>
      </c>
      <c r="I332" s="114" t="s">
        <v>80</v>
      </c>
      <c r="J332" s="31">
        <f>4.54*16</f>
        <v>72.64</v>
      </c>
      <c r="K332" s="31">
        <f>3.96*16</f>
        <v>63.36</v>
      </c>
      <c r="L332" s="32">
        <f t="shared" si="175"/>
        <v>587.49416000000008</v>
      </c>
      <c r="M332" s="32">
        <f t="shared" si="176"/>
        <v>512.43984000000012</v>
      </c>
      <c r="N332" s="32">
        <f t="shared" si="177"/>
        <v>1099.9340000000002</v>
      </c>
      <c r="O332" s="35"/>
      <c r="P332" s="3"/>
    </row>
    <row r="333" spans="1:16" s="4" customFormat="1" x14ac:dyDescent="0.25">
      <c r="A333" s="34">
        <f>IF(I333&lt;&gt;"",1+MAX($A$40:A332),"")</f>
        <v>244</v>
      </c>
      <c r="B333" s="26"/>
      <c r="C333" s="26"/>
      <c r="D333" s="27"/>
      <c r="E333" s="113" t="s">
        <v>227</v>
      </c>
      <c r="F333" s="124">
        <v>23.112781954887218</v>
      </c>
      <c r="G333" s="36">
        <v>0.1</v>
      </c>
      <c r="H333" s="29">
        <f t="shared" si="174"/>
        <v>25.424060150375944</v>
      </c>
      <c r="I333" s="114" t="s">
        <v>79</v>
      </c>
      <c r="J333" s="31">
        <f>3.48*16.66</f>
        <v>57.976799999999997</v>
      </c>
      <c r="K333" s="31">
        <f>2.52*16.66</f>
        <v>41.983200000000004</v>
      </c>
      <c r="L333" s="32">
        <f t="shared" si="175"/>
        <v>1474.005650526316</v>
      </c>
      <c r="M333" s="32">
        <f t="shared" si="176"/>
        <v>1067.3834021052635</v>
      </c>
      <c r="N333" s="32">
        <f t="shared" si="177"/>
        <v>2541.3890526315795</v>
      </c>
      <c r="O333" s="35"/>
      <c r="P333" s="3"/>
    </row>
    <row r="334" spans="1:16" s="4" customFormat="1" x14ac:dyDescent="0.25">
      <c r="A334" s="34">
        <f>IF(I334&lt;&gt;"",1+MAX($A$40:A333),"")</f>
        <v>245</v>
      </c>
      <c r="B334" s="26"/>
      <c r="C334" s="26"/>
      <c r="D334" s="27"/>
      <c r="E334" s="113" t="s">
        <v>228</v>
      </c>
      <c r="F334" s="124">
        <v>23.112781954887218</v>
      </c>
      <c r="G334" s="36">
        <v>0.1</v>
      </c>
      <c r="H334" s="29">
        <f t="shared" si="174"/>
        <v>25.424060150375944</v>
      </c>
      <c r="I334" s="114" t="s">
        <v>79</v>
      </c>
      <c r="J334" s="31">
        <f>3.48*10.16</f>
        <v>35.3568</v>
      </c>
      <c r="K334" s="31">
        <f>2.52*10.16</f>
        <v>25.603200000000001</v>
      </c>
      <c r="L334" s="32">
        <f t="shared" si="175"/>
        <v>898.91340992481219</v>
      </c>
      <c r="M334" s="32">
        <f t="shared" si="176"/>
        <v>650.93729684210541</v>
      </c>
      <c r="N334" s="32">
        <f t="shared" si="177"/>
        <v>1549.8507067669175</v>
      </c>
      <c r="O334" s="35"/>
      <c r="P334" s="3"/>
    </row>
    <row r="335" spans="1:16" s="4" customFormat="1" x14ac:dyDescent="0.25">
      <c r="A335" s="34">
        <f>IF(I335&lt;&gt;"",1+MAX($A$40:A334),"")</f>
        <v>246</v>
      </c>
      <c r="B335" s="26"/>
      <c r="C335" s="26"/>
      <c r="D335" s="27"/>
      <c r="E335" s="113" t="s">
        <v>229</v>
      </c>
      <c r="F335" s="124">
        <v>19.726757499999998</v>
      </c>
      <c r="G335" s="36">
        <v>0.1</v>
      </c>
      <c r="H335" s="29">
        <f t="shared" si="174"/>
        <v>21.699433249999998</v>
      </c>
      <c r="I335" s="114" t="s">
        <v>82</v>
      </c>
      <c r="J335" s="31">
        <f>0.89*40</f>
        <v>35.6</v>
      </c>
      <c r="K335" s="31">
        <f>1.86*40</f>
        <v>74.400000000000006</v>
      </c>
      <c r="L335" s="32">
        <f t="shared" si="175"/>
        <v>772.49982369999998</v>
      </c>
      <c r="M335" s="32">
        <f t="shared" si="176"/>
        <v>1614.4378337999999</v>
      </c>
      <c r="N335" s="32">
        <f t="shared" si="177"/>
        <v>2386.9376574999997</v>
      </c>
      <c r="O335" s="35"/>
      <c r="P335" s="3"/>
    </row>
    <row r="336" spans="1:16" s="4" customFormat="1" x14ac:dyDescent="0.25">
      <c r="A336" s="34">
        <f>IF(I336&lt;&gt;"",1+MAX($A$40:A335),"")</f>
        <v>247</v>
      </c>
      <c r="B336" s="26"/>
      <c r="C336" s="26"/>
      <c r="D336" s="27"/>
      <c r="E336" s="113" t="s">
        <v>230</v>
      </c>
      <c r="F336" s="124">
        <v>22.550117500000002</v>
      </c>
      <c r="G336" s="36">
        <v>0.1</v>
      </c>
      <c r="H336" s="29">
        <f t="shared" si="174"/>
        <v>24.805129250000004</v>
      </c>
      <c r="I336" s="114" t="s">
        <v>82</v>
      </c>
      <c r="J336" s="31">
        <f>0.98*40</f>
        <v>39.200000000000003</v>
      </c>
      <c r="K336" s="31">
        <f>2.02*40</f>
        <v>80.8</v>
      </c>
      <c r="L336" s="32">
        <f t="shared" si="175"/>
        <v>972.36106660000019</v>
      </c>
      <c r="M336" s="32">
        <f t="shared" si="176"/>
        <v>2004.2544434000001</v>
      </c>
      <c r="N336" s="32">
        <f t="shared" si="177"/>
        <v>2976.6155100000005</v>
      </c>
      <c r="O336" s="35"/>
      <c r="P336" s="3"/>
    </row>
    <row r="337" spans="1:16" s="4" customFormat="1" x14ac:dyDescent="0.25">
      <c r="A337" s="34">
        <f>IF(I337&lt;&gt;"",1+MAX($A$40:A336),"")</f>
        <v>248</v>
      </c>
      <c r="B337" s="26"/>
      <c r="C337" s="26"/>
      <c r="D337" s="27"/>
      <c r="E337" s="113" t="s">
        <v>211</v>
      </c>
      <c r="F337" s="124">
        <v>789.07029999999997</v>
      </c>
      <c r="G337" s="36">
        <v>0.1</v>
      </c>
      <c r="H337" s="29">
        <f t="shared" si="174"/>
        <v>867.97733000000005</v>
      </c>
      <c r="I337" s="114" t="s">
        <v>81</v>
      </c>
      <c r="J337" s="31">
        <v>1.93</v>
      </c>
      <c r="K337" s="31">
        <v>0.98</v>
      </c>
      <c r="L337" s="32">
        <f t="shared" si="175"/>
        <v>1675.1962469</v>
      </c>
      <c r="M337" s="32">
        <f t="shared" si="176"/>
        <v>850.61778340000001</v>
      </c>
      <c r="N337" s="32">
        <f t="shared" si="177"/>
        <v>2525.8140303</v>
      </c>
      <c r="O337" s="35"/>
      <c r="P337" s="3"/>
    </row>
    <row r="338" spans="1:16" s="4" customFormat="1" x14ac:dyDescent="0.25">
      <c r="A338" s="34">
        <f>IF(I338&lt;&gt;"",1+MAX($A$40:A337),"")</f>
        <v>249</v>
      </c>
      <c r="B338" s="26"/>
      <c r="C338" s="26"/>
      <c r="D338" s="27"/>
      <c r="E338" s="113" t="s">
        <v>94</v>
      </c>
      <c r="F338" s="124">
        <v>58.82</v>
      </c>
      <c r="G338" s="36">
        <v>0.1</v>
      </c>
      <c r="H338" s="29">
        <f t="shared" si="174"/>
        <v>64.702000000000012</v>
      </c>
      <c r="I338" s="114" t="s">
        <v>80</v>
      </c>
      <c r="J338" s="31">
        <v>0.2</v>
      </c>
      <c r="K338" s="31">
        <v>0.6</v>
      </c>
      <c r="L338" s="32">
        <f t="shared" si="175"/>
        <v>12.940400000000004</v>
      </c>
      <c r="M338" s="32">
        <f t="shared" si="176"/>
        <v>38.821200000000005</v>
      </c>
      <c r="N338" s="32">
        <f t="shared" si="177"/>
        <v>51.761600000000008</v>
      </c>
      <c r="O338" s="35"/>
      <c r="P338" s="3"/>
    </row>
    <row r="339" spans="1:16" s="4" customFormat="1" x14ac:dyDescent="0.25">
      <c r="A339" s="34" t="str">
        <f>IF(I339&lt;&gt;"",1+MAX($A$40:A338),"")</f>
        <v/>
      </c>
      <c r="B339" s="26"/>
      <c r="C339" s="26"/>
      <c r="D339" s="27"/>
      <c r="E339" s="112" t="s">
        <v>231</v>
      </c>
      <c r="F339" s="124"/>
      <c r="G339" s="36"/>
      <c r="H339" s="29" t="str">
        <f t="shared" si="174"/>
        <v/>
      </c>
      <c r="I339" s="114"/>
      <c r="J339" s="31"/>
      <c r="K339" s="31"/>
      <c r="L339" s="32" t="str">
        <f t="shared" si="175"/>
        <v/>
      </c>
      <c r="M339" s="32" t="str">
        <f t="shared" si="176"/>
        <v/>
      </c>
      <c r="N339" s="32" t="str">
        <f t="shared" si="177"/>
        <v/>
      </c>
      <c r="O339" s="35"/>
      <c r="P339" s="3"/>
    </row>
    <row r="340" spans="1:16" s="4" customFormat="1" x14ac:dyDescent="0.25">
      <c r="A340" s="34">
        <f>IF(I340&lt;&gt;"",1+MAX($A$40:A339),"")</f>
        <v>250</v>
      </c>
      <c r="B340" s="26"/>
      <c r="C340" s="26"/>
      <c r="D340" s="27"/>
      <c r="E340" s="113" t="s">
        <v>206</v>
      </c>
      <c r="F340" s="124">
        <v>9.5612499999999994</v>
      </c>
      <c r="G340" s="36">
        <v>0.1</v>
      </c>
      <c r="H340" s="29">
        <f t="shared" si="174"/>
        <v>10.517374999999999</v>
      </c>
      <c r="I340" s="114" t="s">
        <v>80</v>
      </c>
      <c r="J340" s="31">
        <f t="shared" ref="J340" si="182">2.03*16</f>
        <v>32.479999999999997</v>
      </c>
      <c r="K340" s="31">
        <v>36.799999999999997</v>
      </c>
      <c r="L340" s="32">
        <f t="shared" si="175"/>
        <v>341.60433999999992</v>
      </c>
      <c r="M340" s="32">
        <f t="shared" si="176"/>
        <v>387.03939999999994</v>
      </c>
      <c r="N340" s="32">
        <f t="shared" si="177"/>
        <v>728.64373999999987</v>
      </c>
      <c r="O340" s="35"/>
      <c r="P340" s="3"/>
    </row>
    <row r="341" spans="1:16" s="4" customFormat="1" x14ac:dyDescent="0.25">
      <c r="A341" s="34">
        <f>IF(I341&lt;&gt;"",1+MAX($A$40:A340),"")</f>
        <v>251</v>
      </c>
      <c r="B341" s="26"/>
      <c r="C341" s="26"/>
      <c r="D341" s="27"/>
      <c r="E341" s="113" t="s">
        <v>232</v>
      </c>
      <c r="F341" s="124">
        <v>58.511278195488714</v>
      </c>
      <c r="G341" s="36">
        <v>0.1</v>
      </c>
      <c r="H341" s="29">
        <f t="shared" si="174"/>
        <v>64.362406015037593</v>
      </c>
      <c r="I341" s="114" t="s">
        <v>79</v>
      </c>
      <c r="J341" s="31">
        <f>1.34*26.5</f>
        <v>35.510000000000005</v>
      </c>
      <c r="K341" s="31">
        <f>1.39*26.5</f>
        <v>36.835000000000001</v>
      </c>
      <c r="L341" s="32">
        <f t="shared" si="175"/>
        <v>2285.5090375939853</v>
      </c>
      <c r="M341" s="32">
        <f t="shared" si="176"/>
        <v>2370.7892255639099</v>
      </c>
      <c r="N341" s="32">
        <f t="shared" si="177"/>
        <v>4656.2982631578952</v>
      </c>
      <c r="O341" s="35"/>
      <c r="P341" s="3"/>
    </row>
    <row r="342" spans="1:16" s="4" customFormat="1" x14ac:dyDescent="0.25">
      <c r="A342" s="34">
        <f>IF(I342&lt;&gt;"",1+MAX($A$40:A341),"")</f>
        <v>252</v>
      </c>
      <c r="B342" s="26"/>
      <c r="C342" s="26"/>
      <c r="D342" s="27"/>
      <c r="E342" s="113" t="s">
        <v>233</v>
      </c>
      <c r="F342" s="124">
        <v>50.674624999999999</v>
      </c>
      <c r="G342" s="36">
        <v>0.1</v>
      </c>
      <c r="H342" s="29">
        <f t="shared" si="174"/>
        <v>55.742087500000004</v>
      </c>
      <c r="I342" s="114" t="s">
        <v>82</v>
      </c>
      <c r="J342" s="31">
        <f>0.89*40</f>
        <v>35.6</v>
      </c>
      <c r="K342" s="31">
        <f>1.86*40</f>
        <v>74.400000000000006</v>
      </c>
      <c r="L342" s="32">
        <f t="shared" si="175"/>
        <v>1984.4183150000001</v>
      </c>
      <c r="M342" s="32">
        <f t="shared" si="176"/>
        <v>4147.2113100000006</v>
      </c>
      <c r="N342" s="32">
        <f t="shared" si="177"/>
        <v>6131.6296250000005</v>
      </c>
      <c r="O342" s="35"/>
      <c r="P342" s="3"/>
    </row>
    <row r="343" spans="1:16" s="4" customFormat="1" x14ac:dyDescent="0.25">
      <c r="A343" s="34">
        <f>IF(I343&lt;&gt;"",1+MAX($A$40:A342),"")</f>
        <v>253</v>
      </c>
      <c r="B343" s="26"/>
      <c r="C343" s="26"/>
      <c r="D343" s="27"/>
      <c r="E343" s="113" t="s">
        <v>234</v>
      </c>
      <c r="F343" s="124">
        <v>2026.9849999999999</v>
      </c>
      <c r="G343" s="36">
        <v>0.1</v>
      </c>
      <c r="H343" s="29">
        <f t="shared" si="174"/>
        <v>2229.6835000000001</v>
      </c>
      <c r="I343" s="114" t="s">
        <v>81</v>
      </c>
      <c r="J343" s="31">
        <v>1.8</v>
      </c>
      <c r="K343" s="31">
        <v>0.87</v>
      </c>
      <c r="L343" s="32">
        <f t="shared" si="175"/>
        <v>4013.4303000000004</v>
      </c>
      <c r="M343" s="32">
        <f t="shared" si="176"/>
        <v>1939.8246450000001</v>
      </c>
      <c r="N343" s="32">
        <f t="shared" si="177"/>
        <v>5953.2549450000006</v>
      </c>
      <c r="O343" s="35"/>
      <c r="P343" s="3"/>
    </row>
    <row r="344" spans="1:16" s="4" customFormat="1" x14ac:dyDescent="0.25">
      <c r="A344" s="34">
        <f>IF(I344&lt;&gt;"",1+MAX($A$40:A343),"")</f>
        <v>254</v>
      </c>
      <c r="B344" s="26"/>
      <c r="C344" s="26"/>
      <c r="D344" s="27"/>
      <c r="E344" s="113" t="s">
        <v>94</v>
      </c>
      <c r="F344" s="124">
        <v>152.97999999999999</v>
      </c>
      <c r="G344" s="36">
        <v>0.1</v>
      </c>
      <c r="H344" s="29">
        <f t="shared" si="174"/>
        <v>168.27799999999999</v>
      </c>
      <c r="I344" s="114" t="s">
        <v>80</v>
      </c>
      <c r="J344" s="31">
        <v>0.2</v>
      </c>
      <c r="K344" s="31">
        <v>0.6</v>
      </c>
      <c r="L344" s="32">
        <f t="shared" si="175"/>
        <v>33.6556</v>
      </c>
      <c r="M344" s="32">
        <f t="shared" si="176"/>
        <v>100.96679999999999</v>
      </c>
      <c r="N344" s="32">
        <f t="shared" si="177"/>
        <v>134.6224</v>
      </c>
      <c r="O344" s="35"/>
      <c r="P344" s="3"/>
    </row>
    <row r="345" spans="1:16" s="4" customFormat="1" x14ac:dyDescent="0.25">
      <c r="A345" s="34" t="str">
        <f>IF(I345&lt;&gt;"",1+MAX($A$40:A344),"")</f>
        <v/>
      </c>
      <c r="B345" s="26"/>
      <c r="C345" s="26"/>
      <c r="D345" s="27"/>
      <c r="E345" s="112" t="s">
        <v>235</v>
      </c>
      <c r="F345" s="124"/>
      <c r="G345" s="36"/>
      <c r="H345" s="29" t="str">
        <f t="shared" si="174"/>
        <v/>
      </c>
      <c r="I345" s="114"/>
      <c r="J345" s="31"/>
      <c r="K345" s="31"/>
      <c r="L345" s="32" t="str">
        <f t="shared" si="175"/>
        <v/>
      </c>
      <c r="M345" s="32" t="str">
        <f t="shared" si="176"/>
        <v/>
      </c>
      <c r="N345" s="32" t="str">
        <f t="shared" si="177"/>
        <v/>
      </c>
      <c r="O345" s="35"/>
      <c r="P345" s="3"/>
    </row>
    <row r="346" spans="1:16" s="4" customFormat="1" x14ac:dyDescent="0.25">
      <c r="A346" s="34">
        <f>IF(I346&lt;&gt;"",1+MAX($A$40:A345),"")</f>
        <v>255</v>
      </c>
      <c r="B346" s="26"/>
      <c r="C346" s="26"/>
      <c r="D346" s="27"/>
      <c r="E346" s="113" t="s">
        <v>204</v>
      </c>
      <c r="F346" s="124">
        <v>33.840000000000003</v>
      </c>
      <c r="G346" s="36">
        <v>0.1</v>
      </c>
      <c r="H346" s="29">
        <f t="shared" si="174"/>
        <v>37.224000000000004</v>
      </c>
      <c r="I346" s="114" t="s">
        <v>80</v>
      </c>
      <c r="J346" s="31">
        <f>4.54*16</f>
        <v>72.64</v>
      </c>
      <c r="K346" s="31">
        <f>3.96*16</f>
        <v>63.36</v>
      </c>
      <c r="L346" s="32">
        <f t="shared" si="175"/>
        <v>2703.9513600000005</v>
      </c>
      <c r="M346" s="32">
        <f t="shared" si="176"/>
        <v>2358.5126400000004</v>
      </c>
      <c r="N346" s="32">
        <f t="shared" si="177"/>
        <v>5062.4640000000009</v>
      </c>
      <c r="O346" s="35"/>
      <c r="P346" s="3"/>
    </row>
    <row r="347" spans="1:16" s="4" customFormat="1" x14ac:dyDescent="0.25">
      <c r="A347" s="34">
        <f>IF(I347&lt;&gt;"",1+MAX($A$40:A346),"")</f>
        <v>256</v>
      </c>
      <c r="B347" s="26"/>
      <c r="C347" s="26"/>
      <c r="D347" s="27"/>
      <c r="E347" s="113" t="s">
        <v>236</v>
      </c>
      <c r="F347" s="124">
        <v>102.77443609022556</v>
      </c>
      <c r="G347" s="36">
        <v>0.1</v>
      </c>
      <c r="H347" s="29">
        <f t="shared" si="174"/>
        <v>113.05187969924813</v>
      </c>
      <c r="I347" s="114" t="s">
        <v>79</v>
      </c>
      <c r="J347" s="31">
        <f>3.48*27.33</f>
        <v>95.108399999999989</v>
      </c>
      <c r="K347" s="31">
        <f>2.52*27.33</f>
        <v>68.871600000000001</v>
      </c>
      <c r="L347" s="32">
        <f t="shared" si="175"/>
        <v>10752.183395187971</v>
      </c>
      <c r="M347" s="32">
        <f t="shared" si="176"/>
        <v>7786.0638378947378</v>
      </c>
      <c r="N347" s="32">
        <f t="shared" si="177"/>
        <v>18538.247233082708</v>
      </c>
      <c r="O347" s="35"/>
      <c r="P347" s="3"/>
    </row>
    <row r="348" spans="1:16" s="4" customFormat="1" x14ac:dyDescent="0.25">
      <c r="A348" s="34">
        <f>IF(I348&lt;&gt;"",1+MAX($A$40:A347),"")</f>
        <v>257</v>
      </c>
      <c r="B348" s="26"/>
      <c r="C348" s="26"/>
      <c r="D348" s="27"/>
      <c r="E348" s="113" t="s">
        <v>237</v>
      </c>
      <c r="F348" s="124">
        <v>92.48472000000001</v>
      </c>
      <c r="G348" s="36">
        <v>0.1</v>
      </c>
      <c r="H348" s="29">
        <f t="shared" si="174"/>
        <v>101.73319200000002</v>
      </c>
      <c r="I348" s="114" t="s">
        <v>82</v>
      </c>
      <c r="J348" s="31">
        <f>0.89*40</f>
        <v>35.6</v>
      </c>
      <c r="K348" s="31">
        <f>1.86*40</f>
        <v>74.400000000000006</v>
      </c>
      <c r="L348" s="32">
        <f t="shared" si="175"/>
        <v>3621.701635200001</v>
      </c>
      <c r="M348" s="32">
        <f t="shared" si="176"/>
        <v>7568.9494848000022</v>
      </c>
      <c r="N348" s="32">
        <f t="shared" si="177"/>
        <v>11190.651120000002</v>
      </c>
      <c r="O348" s="35"/>
      <c r="P348" s="3"/>
    </row>
    <row r="349" spans="1:16" s="4" customFormat="1" x14ac:dyDescent="0.25">
      <c r="A349" s="34">
        <f>IF(I349&lt;&gt;"",1+MAX($A$40:A348),"")</f>
        <v>258</v>
      </c>
      <c r="B349" s="26"/>
      <c r="C349" s="26"/>
      <c r="D349" s="27"/>
      <c r="E349" s="113" t="s">
        <v>238</v>
      </c>
      <c r="F349" s="124">
        <v>92.48472000000001</v>
      </c>
      <c r="G349" s="36">
        <v>0.1</v>
      </c>
      <c r="H349" s="29">
        <f t="shared" si="174"/>
        <v>101.73319200000002</v>
      </c>
      <c r="I349" s="114" t="s">
        <v>82</v>
      </c>
      <c r="J349" s="31">
        <f>0.98*40</f>
        <v>39.200000000000003</v>
      </c>
      <c r="K349" s="31">
        <f>2.02*40</f>
        <v>80.8</v>
      </c>
      <c r="L349" s="32">
        <f t="shared" si="175"/>
        <v>3987.9411264000009</v>
      </c>
      <c r="M349" s="32">
        <f t="shared" si="176"/>
        <v>8220.0419136000019</v>
      </c>
      <c r="N349" s="32">
        <f t="shared" si="177"/>
        <v>12207.983040000003</v>
      </c>
      <c r="O349" s="35"/>
      <c r="P349" s="3"/>
    </row>
    <row r="350" spans="1:16" s="4" customFormat="1" x14ac:dyDescent="0.25">
      <c r="A350" s="34">
        <f>IF(I350&lt;&gt;"",1+MAX($A$40:A349),"")</f>
        <v>259</v>
      </c>
      <c r="B350" s="26"/>
      <c r="C350" s="26"/>
      <c r="D350" s="27"/>
      <c r="E350" s="113" t="s">
        <v>211</v>
      </c>
      <c r="F350" s="124">
        <v>3699.3888000000002</v>
      </c>
      <c r="G350" s="36">
        <v>0.1</v>
      </c>
      <c r="H350" s="29">
        <f t="shared" si="174"/>
        <v>4069.3276800000003</v>
      </c>
      <c r="I350" s="114" t="s">
        <v>81</v>
      </c>
      <c r="J350" s="31">
        <v>1.93</v>
      </c>
      <c r="K350" s="31">
        <v>0.98</v>
      </c>
      <c r="L350" s="32">
        <f t="shared" si="175"/>
        <v>7853.8024224000001</v>
      </c>
      <c r="M350" s="32">
        <f t="shared" si="176"/>
        <v>3987.9411264</v>
      </c>
      <c r="N350" s="32">
        <f t="shared" si="177"/>
        <v>11841.743548800001</v>
      </c>
      <c r="O350" s="35"/>
      <c r="P350" s="3"/>
    </row>
    <row r="351" spans="1:16" s="4" customFormat="1" x14ac:dyDescent="0.25">
      <c r="A351" s="34">
        <f>IF(I351&lt;&gt;"",1+MAX($A$40:A350),"")</f>
        <v>260</v>
      </c>
      <c r="B351" s="26"/>
      <c r="C351" s="26"/>
      <c r="D351" s="27"/>
      <c r="E351" s="113" t="s">
        <v>94</v>
      </c>
      <c r="F351" s="124">
        <v>270.72000000000003</v>
      </c>
      <c r="G351" s="36">
        <v>0.1</v>
      </c>
      <c r="H351" s="29">
        <f t="shared" si="174"/>
        <v>297.79200000000003</v>
      </c>
      <c r="I351" s="114" t="s">
        <v>80</v>
      </c>
      <c r="J351" s="31">
        <v>0.2</v>
      </c>
      <c r="K351" s="31">
        <v>0.6</v>
      </c>
      <c r="L351" s="32">
        <f t="shared" si="175"/>
        <v>59.558400000000006</v>
      </c>
      <c r="M351" s="32">
        <f t="shared" si="176"/>
        <v>178.67520000000002</v>
      </c>
      <c r="N351" s="32">
        <f t="shared" si="177"/>
        <v>238.23360000000002</v>
      </c>
      <c r="O351" s="35"/>
      <c r="P351" s="3"/>
    </row>
    <row r="352" spans="1:16" s="4" customFormat="1" x14ac:dyDescent="0.25">
      <c r="A352" s="34" t="str">
        <f>IF(I352&lt;&gt;"",1+MAX($A$40:A351),"")</f>
        <v/>
      </c>
      <c r="B352" s="26"/>
      <c r="C352" s="26"/>
      <c r="D352" s="27"/>
      <c r="E352" s="112" t="s">
        <v>239</v>
      </c>
      <c r="F352" s="124"/>
      <c r="G352" s="36"/>
      <c r="H352" s="29" t="str">
        <f t="shared" si="174"/>
        <v/>
      </c>
      <c r="I352" s="114"/>
      <c r="J352" s="31"/>
      <c r="K352" s="31"/>
      <c r="L352" s="32" t="str">
        <f t="shared" ref="L352:L415" si="183">IF(F352=0,"",J352*H352)</f>
        <v/>
      </c>
      <c r="M352" s="32" t="str">
        <f t="shared" ref="M352:M415" si="184">IF(F352=0,"",K352*H352)</f>
        <v/>
      </c>
      <c r="N352" s="32" t="str">
        <f t="shared" ref="N352:N415" si="185">IF(F352=0,"",L352+M352)</f>
        <v/>
      </c>
      <c r="O352" s="35"/>
      <c r="P352" s="3"/>
    </row>
    <row r="353" spans="1:16" s="4" customFormat="1" x14ac:dyDescent="0.25">
      <c r="A353" s="34">
        <f>IF(I353&lt;&gt;"",1+MAX($A$40:A352),"")</f>
        <v>261</v>
      </c>
      <c r="B353" s="26"/>
      <c r="C353" s="26"/>
      <c r="D353" s="27"/>
      <c r="E353" s="113" t="s">
        <v>204</v>
      </c>
      <c r="F353" s="124">
        <v>9.7200000000000006</v>
      </c>
      <c r="G353" s="36">
        <v>0.1</v>
      </c>
      <c r="H353" s="29">
        <f t="shared" ref="H353:H416" si="186">IF(F353=0,"",F353*(1+G353))</f>
        <v>10.692000000000002</v>
      </c>
      <c r="I353" s="114" t="s">
        <v>80</v>
      </c>
      <c r="J353" s="31">
        <f>4.54*16</f>
        <v>72.64</v>
      </c>
      <c r="K353" s="31">
        <f>3.96*16</f>
        <v>63.36</v>
      </c>
      <c r="L353" s="32">
        <f t="shared" si="183"/>
        <v>776.66688000000011</v>
      </c>
      <c r="M353" s="32">
        <f t="shared" si="184"/>
        <v>677.44512000000009</v>
      </c>
      <c r="N353" s="32">
        <f t="shared" si="185"/>
        <v>1454.1120000000001</v>
      </c>
      <c r="O353" s="35"/>
      <c r="P353" s="3"/>
    </row>
    <row r="354" spans="1:16" s="4" customFormat="1" x14ac:dyDescent="0.25">
      <c r="A354" s="34">
        <f>IF(I354&lt;&gt;"",1+MAX($A$40:A353),"")</f>
        <v>262</v>
      </c>
      <c r="B354" s="26"/>
      <c r="C354" s="26"/>
      <c r="D354" s="27"/>
      <c r="E354" s="113" t="s">
        <v>240</v>
      </c>
      <c r="F354" s="124">
        <v>30.233082706766918</v>
      </c>
      <c r="G354" s="36">
        <v>0.1</v>
      </c>
      <c r="H354" s="29">
        <f t="shared" si="186"/>
        <v>33.256390977443615</v>
      </c>
      <c r="I354" s="114" t="s">
        <v>79</v>
      </c>
      <c r="J354" s="31">
        <f>3.48*29.5</f>
        <v>102.66</v>
      </c>
      <c r="K354" s="31">
        <f>2.52*29.5</f>
        <v>74.34</v>
      </c>
      <c r="L354" s="32">
        <f t="shared" si="183"/>
        <v>3414.1010977443616</v>
      </c>
      <c r="M354" s="32">
        <f t="shared" si="184"/>
        <v>2472.2801052631585</v>
      </c>
      <c r="N354" s="32">
        <f t="shared" si="185"/>
        <v>5886.3812030075205</v>
      </c>
      <c r="O354" s="35"/>
      <c r="P354" s="3"/>
    </row>
    <row r="355" spans="1:16" s="4" customFormat="1" x14ac:dyDescent="0.25">
      <c r="A355" s="34">
        <f>IF(I355&lt;&gt;"",1+MAX($A$40:A354),"")</f>
        <v>263</v>
      </c>
      <c r="B355" s="26"/>
      <c r="C355" s="26"/>
      <c r="D355" s="27"/>
      <c r="E355" s="113" t="s">
        <v>237</v>
      </c>
      <c r="F355" s="124">
        <v>28.673999999999999</v>
      </c>
      <c r="G355" s="36">
        <v>0.1</v>
      </c>
      <c r="H355" s="29">
        <f t="shared" si="186"/>
        <v>31.541400000000003</v>
      </c>
      <c r="I355" s="114" t="s">
        <v>82</v>
      </c>
      <c r="J355" s="31">
        <f>0.89*40</f>
        <v>35.6</v>
      </c>
      <c r="K355" s="31">
        <f>1.86*40</f>
        <v>74.400000000000006</v>
      </c>
      <c r="L355" s="32">
        <f t="shared" si="183"/>
        <v>1122.8738400000002</v>
      </c>
      <c r="M355" s="32">
        <f t="shared" si="184"/>
        <v>2346.6801600000003</v>
      </c>
      <c r="N355" s="32">
        <f t="shared" si="185"/>
        <v>3469.5540000000005</v>
      </c>
      <c r="O355" s="35"/>
      <c r="P355" s="3"/>
    </row>
    <row r="356" spans="1:16" s="4" customFormat="1" x14ac:dyDescent="0.25">
      <c r="A356" s="34">
        <f>IF(I356&lt;&gt;"",1+MAX($A$40:A355),"")</f>
        <v>264</v>
      </c>
      <c r="B356" s="26"/>
      <c r="C356" s="26"/>
      <c r="D356" s="27"/>
      <c r="E356" s="113" t="s">
        <v>241</v>
      </c>
      <c r="F356" s="124">
        <v>28.673999999999999</v>
      </c>
      <c r="G356" s="36">
        <v>0.1</v>
      </c>
      <c r="H356" s="29">
        <f t="shared" si="186"/>
        <v>31.541400000000003</v>
      </c>
      <c r="I356" s="114" t="s">
        <v>82</v>
      </c>
      <c r="J356" s="31">
        <f>0.98*40</f>
        <v>39.200000000000003</v>
      </c>
      <c r="K356" s="31">
        <f>2.02*40</f>
        <v>80.8</v>
      </c>
      <c r="L356" s="32">
        <f t="shared" si="183"/>
        <v>1236.4228800000003</v>
      </c>
      <c r="M356" s="32">
        <f t="shared" si="184"/>
        <v>2548.5451200000002</v>
      </c>
      <c r="N356" s="32">
        <f t="shared" si="185"/>
        <v>3784.9680000000008</v>
      </c>
      <c r="O356" s="35"/>
      <c r="P356" s="3"/>
    </row>
    <row r="357" spans="1:16" s="4" customFormat="1" x14ac:dyDescent="0.25">
      <c r="A357" s="34">
        <f>IF(I357&lt;&gt;"",1+MAX($A$40:A356),"")</f>
        <v>265</v>
      </c>
      <c r="B357" s="26"/>
      <c r="C357" s="26"/>
      <c r="D357" s="27"/>
      <c r="E357" s="113" t="s">
        <v>211</v>
      </c>
      <c r="F357" s="124">
        <v>1146.96</v>
      </c>
      <c r="G357" s="36">
        <v>0.1</v>
      </c>
      <c r="H357" s="29">
        <f t="shared" si="186"/>
        <v>1261.6560000000002</v>
      </c>
      <c r="I357" s="114" t="s">
        <v>81</v>
      </c>
      <c r="J357" s="31">
        <v>1.93</v>
      </c>
      <c r="K357" s="31">
        <v>0.98</v>
      </c>
      <c r="L357" s="32">
        <f t="shared" si="183"/>
        <v>2434.9960800000003</v>
      </c>
      <c r="M357" s="32">
        <f t="shared" si="184"/>
        <v>1236.4228800000001</v>
      </c>
      <c r="N357" s="32">
        <f t="shared" si="185"/>
        <v>3671.4189600000004</v>
      </c>
      <c r="O357" s="35"/>
      <c r="P357" s="3"/>
    </row>
    <row r="358" spans="1:16" s="4" customFormat="1" x14ac:dyDescent="0.25">
      <c r="A358" s="34">
        <f>IF(I358&lt;&gt;"",1+MAX($A$40:A357),"")</f>
        <v>266</v>
      </c>
      <c r="B358" s="26"/>
      <c r="C358" s="26"/>
      <c r="D358" s="27"/>
      <c r="E358" s="113" t="s">
        <v>94</v>
      </c>
      <c r="F358" s="124">
        <v>77.760000000000005</v>
      </c>
      <c r="G358" s="36">
        <v>0.1</v>
      </c>
      <c r="H358" s="29">
        <f t="shared" si="186"/>
        <v>85.536000000000016</v>
      </c>
      <c r="I358" s="114" t="s">
        <v>80</v>
      </c>
      <c r="J358" s="31">
        <v>0.2</v>
      </c>
      <c r="K358" s="31">
        <v>0.6</v>
      </c>
      <c r="L358" s="32">
        <f t="shared" si="183"/>
        <v>17.107200000000002</v>
      </c>
      <c r="M358" s="32">
        <f t="shared" si="184"/>
        <v>51.321600000000011</v>
      </c>
      <c r="N358" s="32">
        <f t="shared" si="185"/>
        <v>68.42880000000001</v>
      </c>
      <c r="O358" s="35"/>
      <c r="P358" s="3"/>
    </row>
    <row r="359" spans="1:16" s="4" customFormat="1" x14ac:dyDescent="0.25">
      <c r="A359" s="34" t="str">
        <f>IF(I359&lt;&gt;"",1+MAX($A$40:A358),"")</f>
        <v/>
      </c>
      <c r="B359" s="26"/>
      <c r="C359" s="26"/>
      <c r="D359" s="27"/>
      <c r="E359" s="112" t="s">
        <v>242</v>
      </c>
      <c r="F359" s="124"/>
      <c r="G359" s="36"/>
      <c r="H359" s="29" t="str">
        <f t="shared" si="186"/>
        <v/>
      </c>
      <c r="I359" s="114"/>
      <c r="J359" s="31"/>
      <c r="K359" s="31"/>
      <c r="L359" s="32" t="str">
        <f t="shared" si="183"/>
        <v/>
      </c>
      <c r="M359" s="32" t="str">
        <f t="shared" si="184"/>
        <v/>
      </c>
      <c r="N359" s="32" t="str">
        <f t="shared" si="185"/>
        <v/>
      </c>
      <c r="O359" s="35"/>
      <c r="P359" s="3"/>
    </row>
    <row r="360" spans="1:16" s="4" customFormat="1" x14ac:dyDescent="0.25">
      <c r="A360" s="34">
        <f>IF(I360&lt;&gt;"",1+MAX($A$40:A359),"")</f>
        <v>267</v>
      </c>
      <c r="B360" s="26"/>
      <c r="C360" s="26"/>
      <c r="D360" s="27"/>
      <c r="E360" s="113" t="s">
        <v>206</v>
      </c>
      <c r="F360" s="124">
        <v>11.047499999999999</v>
      </c>
      <c r="G360" s="36">
        <v>0.1</v>
      </c>
      <c r="H360" s="29">
        <f t="shared" si="186"/>
        <v>12.15225</v>
      </c>
      <c r="I360" s="114" t="s">
        <v>80</v>
      </c>
      <c r="J360" s="31">
        <f t="shared" ref="J360" si="187">2.03*16</f>
        <v>32.479999999999997</v>
      </c>
      <c r="K360" s="31">
        <v>36.799999999999997</v>
      </c>
      <c r="L360" s="32">
        <f t="shared" si="183"/>
        <v>394.70507999999995</v>
      </c>
      <c r="M360" s="32">
        <f t="shared" si="184"/>
        <v>447.20279999999997</v>
      </c>
      <c r="N360" s="32">
        <f t="shared" si="185"/>
        <v>841.90787999999998</v>
      </c>
      <c r="O360" s="35"/>
      <c r="P360" s="3"/>
    </row>
    <row r="361" spans="1:16" s="4" customFormat="1" x14ac:dyDescent="0.25">
      <c r="A361" s="34">
        <f>IF(I361&lt;&gt;"",1+MAX($A$40:A360),"")</f>
        <v>268</v>
      </c>
      <c r="B361" s="26"/>
      <c r="C361" s="26"/>
      <c r="D361" s="27"/>
      <c r="E361" s="113" t="s">
        <v>243</v>
      </c>
      <c r="F361" s="124">
        <v>34.225563909774429</v>
      </c>
      <c r="G361" s="36">
        <v>0.1</v>
      </c>
      <c r="H361" s="29">
        <f t="shared" si="186"/>
        <v>37.648120300751877</v>
      </c>
      <c r="I361" s="114" t="s">
        <v>79</v>
      </c>
      <c r="J361" s="31">
        <f>1.34*12.5</f>
        <v>16.75</v>
      </c>
      <c r="K361" s="31">
        <f>1.39*12.5</f>
        <v>17.375</v>
      </c>
      <c r="L361" s="32">
        <f t="shared" si="183"/>
        <v>630.60601503759392</v>
      </c>
      <c r="M361" s="32">
        <f t="shared" si="184"/>
        <v>654.13609022556386</v>
      </c>
      <c r="N361" s="32">
        <f t="shared" si="185"/>
        <v>1284.7421052631578</v>
      </c>
      <c r="O361" s="35"/>
      <c r="P361" s="3"/>
    </row>
    <row r="362" spans="1:16" s="4" customFormat="1" x14ac:dyDescent="0.25">
      <c r="A362" s="34">
        <f>IF(I362&lt;&gt;"",1+MAX($A$40:A361),"")</f>
        <v>269</v>
      </c>
      <c r="B362" s="26"/>
      <c r="C362" s="26"/>
      <c r="D362" s="27"/>
      <c r="E362" s="113" t="s">
        <v>244</v>
      </c>
      <c r="F362" s="124">
        <v>34.225563909774429</v>
      </c>
      <c r="G362" s="36">
        <v>0.1</v>
      </c>
      <c r="H362" s="29">
        <f t="shared" si="186"/>
        <v>37.648120300751877</v>
      </c>
      <c r="I362" s="114" t="s">
        <v>79</v>
      </c>
      <c r="J362" s="31">
        <f>1.34*13.5</f>
        <v>18.09</v>
      </c>
      <c r="K362" s="31">
        <f>1.39*13.5</f>
        <v>18.764999999999997</v>
      </c>
      <c r="L362" s="32">
        <f t="shared" si="183"/>
        <v>681.05449624060145</v>
      </c>
      <c r="M362" s="32">
        <f t="shared" si="184"/>
        <v>706.46697744360881</v>
      </c>
      <c r="N362" s="32">
        <f t="shared" si="185"/>
        <v>1387.5214736842104</v>
      </c>
      <c r="O362" s="35"/>
      <c r="P362" s="3"/>
    </row>
    <row r="363" spans="1:16" s="4" customFormat="1" x14ac:dyDescent="0.25">
      <c r="A363" s="34">
        <f>IF(I363&lt;&gt;"",1+MAX($A$40:A362),"")</f>
        <v>270</v>
      </c>
      <c r="B363" s="26"/>
      <c r="C363" s="26"/>
      <c r="D363" s="27"/>
      <c r="E363" s="113" t="s">
        <v>245</v>
      </c>
      <c r="F363" s="124">
        <v>28.723500000000001</v>
      </c>
      <c r="G363" s="36">
        <v>0.1</v>
      </c>
      <c r="H363" s="29">
        <f t="shared" si="186"/>
        <v>31.595850000000006</v>
      </c>
      <c r="I363" s="114" t="s">
        <v>82</v>
      </c>
      <c r="J363" s="31">
        <f>0.89*40</f>
        <v>35.6</v>
      </c>
      <c r="K363" s="31">
        <f>1.86*40</f>
        <v>74.400000000000006</v>
      </c>
      <c r="L363" s="32">
        <f t="shared" si="183"/>
        <v>1124.8122600000002</v>
      </c>
      <c r="M363" s="32">
        <f t="shared" si="184"/>
        <v>2350.7312400000005</v>
      </c>
      <c r="N363" s="32">
        <f t="shared" si="185"/>
        <v>3475.5435000000007</v>
      </c>
      <c r="O363" s="35"/>
      <c r="P363" s="3"/>
    </row>
    <row r="364" spans="1:16" s="4" customFormat="1" x14ac:dyDescent="0.25">
      <c r="A364" s="34">
        <f>IF(I364&lt;&gt;"",1+MAX($A$40:A363),"")</f>
        <v>271</v>
      </c>
      <c r="B364" s="26"/>
      <c r="C364" s="26"/>
      <c r="D364" s="27"/>
      <c r="E364" s="113" t="s">
        <v>234</v>
      </c>
      <c r="F364" s="124">
        <v>1171.0349999999999</v>
      </c>
      <c r="G364" s="36">
        <v>0.1</v>
      </c>
      <c r="H364" s="29">
        <f t="shared" si="186"/>
        <v>1288.1385</v>
      </c>
      <c r="I364" s="114" t="s">
        <v>81</v>
      </c>
      <c r="J364" s="31">
        <v>1.8</v>
      </c>
      <c r="K364" s="31">
        <v>0.87</v>
      </c>
      <c r="L364" s="32">
        <f t="shared" si="183"/>
        <v>2318.6493</v>
      </c>
      <c r="M364" s="32">
        <f t="shared" si="184"/>
        <v>1120.6804950000001</v>
      </c>
      <c r="N364" s="32">
        <f t="shared" si="185"/>
        <v>3439.3297950000001</v>
      </c>
      <c r="O364" s="35"/>
      <c r="P364" s="3"/>
    </row>
    <row r="365" spans="1:16" s="4" customFormat="1" x14ac:dyDescent="0.25">
      <c r="A365" s="34">
        <f>IF(I365&lt;&gt;"",1+MAX($A$40:A364),"")</f>
        <v>272</v>
      </c>
      <c r="B365" s="26"/>
      <c r="C365" s="26"/>
      <c r="D365" s="27"/>
      <c r="E365" s="113" t="s">
        <v>94</v>
      </c>
      <c r="F365" s="124">
        <v>88.38</v>
      </c>
      <c r="G365" s="36">
        <v>0.1</v>
      </c>
      <c r="H365" s="29">
        <f t="shared" si="186"/>
        <v>97.218000000000004</v>
      </c>
      <c r="I365" s="114" t="s">
        <v>80</v>
      </c>
      <c r="J365" s="31">
        <v>0.2</v>
      </c>
      <c r="K365" s="31">
        <v>0.6</v>
      </c>
      <c r="L365" s="32">
        <f t="shared" si="183"/>
        <v>19.443600000000004</v>
      </c>
      <c r="M365" s="32">
        <f t="shared" si="184"/>
        <v>58.330799999999996</v>
      </c>
      <c r="N365" s="32">
        <f t="shared" si="185"/>
        <v>77.7744</v>
      </c>
      <c r="O365" s="35"/>
      <c r="P365" s="3"/>
    </row>
    <row r="366" spans="1:16" s="4" customFormat="1" x14ac:dyDescent="0.25">
      <c r="A366" s="34" t="str">
        <f>IF(I366&lt;&gt;"",1+MAX($A$40:A365),"")</f>
        <v/>
      </c>
      <c r="B366" s="26"/>
      <c r="C366" s="26"/>
      <c r="D366" s="27"/>
      <c r="E366" s="112" t="s">
        <v>246</v>
      </c>
      <c r="F366" s="124"/>
      <c r="G366" s="36"/>
      <c r="H366" s="29" t="str">
        <f t="shared" si="186"/>
        <v/>
      </c>
      <c r="I366" s="114"/>
      <c r="J366" s="31"/>
      <c r="K366" s="31"/>
      <c r="L366" s="32" t="str">
        <f t="shared" si="183"/>
        <v/>
      </c>
      <c r="M366" s="32" t="str">
        <f t="shared" si="184"/>
        <v/>
      </c>
      <c r="N366" s="32" t="str">
        <f t="shared" si="185"/>
        <v/>
      </c>
      <c r="O366" s="35"/>
      <c r="P366" s="3"/>
    </row>
    <row r="367" spans="1:16" s="4" customFormat="1" x14ac:dyDescent="0.25">
      <c r="A367" s="34">
        <f>IF(I367&lt;&gt;"",1+MAX($A$40:A366),"")</f>
        <v>273</v>
      </c>
      <c r="B367" s="26"/>
      <c r="C367" s="26"/>
      <c r="D367" s="27"/>
      <c r="E367" s="113" t="s">
        <v>204</v>
      </c>
      <c r="F367" s="124">
        <v>7.7125000000000004</v>
      </c>
      <c r="G367" s="36">
        <v>0.1</v>
      </c>
      <c r="H367" s="29">
        <f t="shared" si="186"/>
        <v>8.4837500000000006</v>
      </c>
      <c r="I367" s="114" t="s">
        <v>80</v>
      </c>
      <c r="J367" s="31">
        <f>4.54*16</f>
        <v>72.64</v>
      </c>
      <c r="K367" s="31">
        <f>3.96*16</f>
        <v>63.36</v>
      </c>
      <c r="L367" s="32">
        <f t="shared" si="183"/>
        <v>616.25960000000009</v>
      </c>
      <c r="M367" s="32">
        <f t="shared" si="184"/>
        <v>537.53039999999999</v>
      </c>
      <c r="N367" s="32">
        <f t="shared" si="185"/>
        <v>1153.79</v>
      </c>
      <c r="O367" s="35"/>
      <c r="P367" s="3"/>
    </row>
    <row r="368" spans="1:16" s="4" customFormat="1" x14ac:dyDescent="0.25">
      <c r="A368" s="34">
        <f>IF(I368&lt;&gt;"",1+MAX($A$40:A367),"")</f>
        <v>274</v>
      </c>
      <c r="B368" s="26"/>
      <c r="C368" s="26"/>
      <c r="D368" s="27"/>
      <c r="E368" s="113" t="s">
        <v>236</v>
      </c>
      <c r="F368" s="124">
        <v>24.195488721804512</v>
      </c>
      <c r="G368" s="36">
        <v>0.1</v>
      </c>
      <c r="H368" s="29">
        <f t="shared" si="186"/>
        <v>26.615037593984965</v>
      </c>
      <c r="I368" s="114" t="s">
        <v>79</v>
      </c>
      <c r="J368" s="31">
        <f>3.48*27.33</f>
        <v>95.108399999999989</v>
      </c>
      <c r="K368" s="31">
        <f>2.52*27.33</f>
        <v>68.871600000000001</v>
      </c>
      <c r="L368" s="32">
        <f t="shared" si="183"/>
        <v>2531.3136415037593</v>
      </c>
      <c r="M368" s="32">
        <f t="shared" si="184"/>
        <v>1833.0202231578949</v>
      </c>
      <c r="N368" s="32">
        <f t="shared" si="185"/>
        <v>4364.3338646616539</v>
      </c>
      <c r="O368" s="35"/>
      <c r="P368" s="3"/>
    </row>
    <row r="369" spans="1:16" s="4" customFormat="1" x14ac:dyDescent="0.25">
      <c r="A369" s="34">
        <f>IF(I369&lt;&gt;"",1+MAX($A$40:A368),"")</f>
        <v>275</v>
      </c>
      <c r="B369" s="26"/>
      <c r="C369" s="26"/>
      <c r="D369" s="27"/>
      <c r="E369" s="113" t="s">
        <v>206</v>
      </c>
      <c r="F369" s="124">
        <v>3.8562500000000002</v>
      </c>
      <c r="G369" s="36">
        <v>0.1</v>
      </c>
      <c r="H369" s="29">
        <f t="shared" si="186"/>
        <v>4.2418750000000003</v>
      </c>
      <c r="I369" s="114" t="s">
        <v>79</v>
      </c>
      <c r="J369" s="31">
        <f t="shared" ref="J369" si="188">2.03*16</f>
        <v>32.479999999999997</v>
      </c>
      <c r="K369" s="31">
        <v>36.799999999999997</v>
      </c>
      <c r="L369" s="32">
        <f t="shared" si="183"/>
        <v>137.77609999999999</v>
      </c>
      <c r="M369" s="32">
        <f t="shared" si="184"/>
        <v>156.101</v>
      </c>
      <c r="N369" s="32">
        <f t="shared" si="185"/>
        <v>293.87709999999998</v>
      </c>
      <c r="O369" s="35"/>
      <c r="P369" s="3"/>
    </row>
    <row r="370" spans="1:16" s="4" customFormat="1" x14ac:dyDescent="0.25">
      <c r="A370" s="34">
        <f>IF(I370&lt;&gt;"",1+MAX($A$40:A369),"")</f>
        <v>276</v>
      </c>
      <c r="B370" s="26"/>
      <c r="C370" s="26"/>
      <c r="D370" s="27"/>
      <c r="E370" s="113" t="s">
        <v>207</v>
      </c>
      <c r="F370" s="124">
        <v>24.195488721804512</v>
      </c>
      <c r="G370" s="36">
        <v>0.1</v>
      </c>
      <c r="H370" s="29">
        <f t="shared" si="186"/>
        <v>26.615037593984965</v>
      </c>
      <c r="I370" s="114" t="s">
        <v>79</v>
      </c>
      <c r="J370" s="31">
        <f>1.34*2</f>
        <v>2.68</v>
      </c>
      <c r="K370" s="31">
        <f>1.39*2</f>
        <v>2.78</v>
      </c>
      <c r="L370" s="32">
        <f t="shared" si="183"/>
        <v>71.328300751879709</v>
      </c>
      <c r="M370" s="32">
        <f t="shared" si="184"/>
        <v>73.989804511278194</v>
      </c>
      <c r="N370" s="32">
        <f t="shared" si="185"/>
        <v>145.31810526315792</v>
      </c>
      <c r="O370" s="35"/>
      <c r="P370" s="3"/>
    </row>
    <row r="371" spans="1:16" s="4" customFormat="1" x14ac:dyDescent="0.25">
      <c r="A371" s="34">
        <f>IF(I371&lt;&gt;"",1+MAX($A$40:A370),"")</f>
        <v>277</v>
      </c>
      <c r="B371" s="26"/>
      <c r="C371" s="26"/>
      <c r="D371" s="27"/>
      <c r="E371" s="113" t="s">
        <v>247</v>
      </c>
      <c r="F371" s="124">
        <v>21.016562499999999</v>
      </c>
      <c r="G371" s="36">
        <v>0.1</v>
      </c>
      <c r="H371" s="29">
        <f t="shared" si="186"/>
        <v>23.11821875</v>
      </c>
      <c r="I371" s="114" t="s">
        <v>82</v>
      </c>
      <c r="J371" s="31">
        <f>0.89*40</f>
        <v>35.6</v>
      </c>
      <c r="K371" s="31">
        <f>1.86*40</f>
        <v>74.400000000000006</v>
      </c>
      <c r="L371" s="32">
        <f t="shared" si="183"/>
        <v>823.00858750000009</v>
      </c>
      <c r="M371" s="32">
        <f t="shared" si="184"/>
        <v>1719.9954750000002</v>
      </c>
      <c r="N371" s="32">
        <f t="shared" si="185"/>
        <v>2543.0040625000001</v>
      </c>
      <c r="O371" s="35"/>
      <c r="P371" s="3"/>
    </row>
    <row r="372" spans="1:16" s="4" customFormat="1" x14ac:dyDescent="0.25">
      <c r="A372" s="34">
        <f>IF(I372&lt;&gt;"",1+MAX($A$40:A371),"")</f>
        <v>278</v>
      </c>
      <c r="B372" s="26"/>
      <c r="C372" s="26"/>
      <c r="D372" s="27"/>
      <c r="E372" s="113" t="s">
        <v>248</v>
      </c>
      <c r="F372" s="124">
        <v>21.016562499999999</v>
      </c>
      <c r="G372" s="36">
        <v>0.1</v>
      </c>
      <c r="H372" s="29">
        <f t="shared" si="186"/>
        <v>23.11821875</v>
      </c>
      <c r="I372" s="114" t="s">
        <v>82</v>
      </c>
      <c r="J372" s="31">
        <f>0.98*40</f>
        <v>39.200000000000003</v>
      </c>
      <c r="K372" s="31">
        <f>2.02*40</f>
        <v>80.8</v>
      </c>
      <c r="L372" s="32">
        <f t="shared" si="183"/>
        <v>906.23417500000005</v>
      </c>
      <c r="M372" s="32">
        <f t="shared" si="184"/>
        <v>1867.9520749999999</v>
      </c>
      <c r="N372" s="32">
        <f t="shared" si="185"/>
        <v>2774.1862499999997</v>
      </c>
      <c r="O372" s="35"/>
      <c r="P372" s="3"/>
    </row>
    <row r="373" spans="1:16" s="4" customFormat="1" x14ac:dyDescent="0.25">
      <c r="A373" s="34">
        <f>IF(I373&lt;&gt;"",1+MAX($A$40:A372),"")</f>
        <v>279</v>
      </c>
      <c r="B373" s="26"/>
      <c r="C373" s="26"/>
      <c r="D373" s="27"/>
      <c r="E373" s="113" t="s">
        <v>211</v>
      </c>
      <c r="F373" s="124">
        <v>840.66250000000002</v>
      </c>
      <c r="G373" s="36">
        <v>0.1</v>
      </c>
      <c r="H373" s="29">
        <f t="shared" si="186"/>
        <v>924.7287500000001</v>
      </c>
      <c r="I373" s="114" t="s">
        <v>81</v>
      </c>
      <c r="J373" s="31">
        <v>1.93</v>
      </c>
      <c r="K373" s="31">
        <v>0.98</v>
      </c>
      <c r="L373" s="32">
        <f t="shared" si="183"/>
        <v>1784.7264875000001</v>
      </c>
      <c r="M373" s="32">
        <f t="shared" si="184"/>
        <v>906.23417500000005</v>
      </c>
      <c r="N373" s="32">
        <f t="shared" si="185"/>
        <v>2690.9606625000001</v>
      </c>
      <c r="O373" s="35"/>
      <c r="P373" s="3"/>
    </row>
    <row r="374" spans="1:16" s="4" customFormat="1" x14ac:dyDescent="0.25">
      <c r="A374" s="34">
        <f>IF(I374&lt;&gt;"",1+MAX($A$40:A373),"")</f>
        <v>280</v>
      </c>
      <c r="B374" s="26"/>
      <c r="C374" s="26"/>
      <c r="D374" s="27"/>
      <c r="E374" s="113" t="s">
        <v>94</v>
      </c>
      <c r="F374" s="124">
        <v>61.7</v>
      </c>
      <c r="G374" s="36">
        <v>0.1</v>
      </c>
      <c r="H374" s="29">
        <f t="shared" si="186"/>
        <v>67.87</v>
      </c>
      <c r="I374" s="114" t="s">
        <v>80</v>
      </c>
      <c r="J374" s="31">
        <v>0.2</v>
      </c>
      <c r="K374" s="31">
        <v>0.6</v>
      </c>
      <c r="L374" s="32">
        <f t="shared" si="183"/>
        <v>13.574000000000002</v>
      </c>
      <c r="M374" s="32">
        <f t="shared" si="184"/>
        <v>40.722000000000001</v>
      </c>
      <c r="N374" s="32">
        <f t="shared" si="185"/>
        <v>54.296000000000006</v>
      </c>
      <c r="O374" s="35"/>
      <c r="P374" s="3"/>
    </row>
    <row r="375" spans="1:16" s="4" customFormat="1" x14ac:dyDescent="0.25">
      <c r="A375" s="34" t="str">
        <f>IF(I375&lt;&gt;"",1+MAX($A$40:A374),"")</f>
        <v/>
      </c>
      <c r="B375" s="26"/>
      <c r="C375" s="26"/>
      <c r="D375" s="27"/>
      <c r="E375" s="112" t="s">
        <v>249</v>
      </c>
      <c r="F375" s="124"/>
      <c r="G375" s="36"/>
      <c r="H375" s="29" t="str">
        <f t="shared" si="186"/>
        <v/>
      </c>
      <c r="I375" s="114"/>
      <c r="J375" s="31"/>
      <c r="K375" s="31"/>
      <c r="L375" s="32" t="str">
        <f t="shared" si="183"/>
        <v/>
      </c>
      <c r="M375" s="32" t="str">
        <f t="shared" si="184"/>
        <v/>
      </c>
      <c r="N375" s="32" t="str">
        <f t="shared" si="185"/>
        <v/>
      </c>
      <c r="O375" s="35"/>
      <c r="P375" s="3"/>
    </row>
    <row r="376" spans="1:16" s="4" customFormat="1" x14ac:dyDescent="0.25">
      <c r="A376" s="34">
        <f>IF(I376&lt;&gt;"",1+MAX($A$40:A375),"")</f>
        <v>281</v>
      </c>
      <c r="B376" s="26"/>
      <c r="C376" s="26"/>
      <c r="D376" s="27"/>
      <c r="E376" s="113" t="s">
        <v>204</v>
      </c>
      <c r="F376" s="124">
        <v>11.25</v>
      </c>
      <c r="G376" s="36">
        <v>0.1</v>
      </c>
      <c r="H376" s="29">
        <f t="shared" si="186"/>
        <v>12.375000000000002</v>
      </c>
      <c r="I376" s="114" t="s">
        <v>80</v>
      </c>
      <c r="J376" s="31">
        <f>4.54*16</f>
        <v>72.64</v>
      </c>
      <c r="K376" s="31">
        <f>3.96*16</f>
        <v>63.36</v>
      </c>
      <c r="L376" s="32">
        <f t="shared" si="183"/>
        <v>898.92000000000019</v>
      </c>
      <c r="M376" s="32">
        <f t="shared" si="184"/>
        <v>784.08000000000015</v>
      </c>
      <c r="N376" s="32">
        <f t="shared" si="185"/>
        <v>1683.0000000000005</v>
      </c>
      <c r="O376" s="35"/>
      <c r="P376" s="3"/>
    </row>
    <row r="377" spans="1:16" s="4" customFormat="1" x14ac:dyDescent="0.25">
      <c r="A377" s="34">
        <f>IF(I377&lt;&gt;"",1+MAX($A$40:A376),"")</f>
        <v>282</v>
      </c>
      <c r="B377" s="26"/>
      <c r="C377" s="26"/>
      <c r="D377" s="27"/>
      <c r="E377" s="113" t="s">
        <v>214</v>
      </c>
      <c r="F377" s="124">
        <v>34.834586466165412</v>
      </c>
      <c r="G377" s="36">
        <v>0.1</v>
      </c>
      <c r="H377" s="29">
        <f t="shared" si="186"/>
        <v>38.318045112781959</v>
      </c>
      <c r="I377" s="114" t="s">
        <v>79</v>
      </c>
      <c r="J377" s="31">
        <f>3.48*20.66</f>
        <v>71.896799999999999</v>
      </c>
      <c r="K377" s="31">
        <f>2.52*20.66</f>
        <v>52.063200000000002</v>
      </c>
      <c r="L377" s="32">
        <f t="shared" si="183"/>
        <v>2754.9448258646621</v>
      </c>
      <c r="M377" s="32">
        <f t="shared" si="184"/>
        <v>1994.9600463157899</v>
      </c>
      <c r="N377" s="32">
        <f t="shared" si="185"/>
        <v>4749.904872180452</v>
      </c>
      <c r="O377" s="35"/>
      <c r="P377" s="3"/>
    </row>
    <row r="378" spans="1:16" s="4" customFormat="1" x14ac:dyDescent="0.25">
      <c r="A378" s="34">
        <f>IF(I378&lt;&gt;"",1+MAX($A$40:A377),"")</f>
        <v>283</v>
      </c>
      <c r="B378" s="26"/>
      <c r="C378" s="26"/>
      <c r="D378" s="27"/>
      <c r="E378" s="113" t="s">
        <v>206</v>
      </c>
      <c r="F378" s="124">
        <v>5.625</v>
      </c>
      <c r="G378" s="36">
        <v>0.1</v>
      </c>
      <c r="H378" s="29">
        <f t="shared" si="186"/>
        <v>6.1875000000000009</v>
      </c>
      <c r="I378" s="114" t="s">
        <v>79</v>
      </c>
      <c r="J378" s="31">
        <f t="shared" ref="J378" si="189">2.03*16</f>
        <v>32.479999999999997</v>
      </c>
      <c r="K378" s="31">
        <v>36.799999999999997</v>
      </c>
      <c r="L378" s="32">
        <f t="shared" si="183"/>
        <v>200.97</v>
      </c>
      <c r="M378" s="32">
        <f t="shared" si="184"/>
        <v>227.70000000000002</v>
      </c>
      <c r="N378" s="32">
        <f t="shared" si="185"/>
        <v>428.67</v>
      </c>
      <c r="O378" s="35"/>
      <c r="P378" s="3"/>
    </row>
    <row r="379" spans="1:16" s="4" customFormat="1" x14ac:dyDescent="0.25">
      <c r="A379" s="34">
        <f>IF(I379&lt;&gt;"",1+MAX($A$40:A378),"")</f>
        <v>284</v>
      </c>
      <c r="B379" s="26"/>
      <c r="C379" s="26"/>
      <c r="D379" s="27"/>
      <c r="E379" s="113" t="s">
        <v>250</v>
      </c>
      <c r="F379" s="124">
        <v>34.834586466165412</v>
      </c>
      <c r="G379" s="36">
        <v>0.1</v>
      </c>
      <c r="H379" s="29">
        <f t="shared" si="186"/>
        <v>38.318045112781959</v>
      </c>
      <c r="I379" s="114" t="s">
        <v>79</v>
      </c>
      <c r="J379" s="31">
        <f>1.34*3.5</f>
        <v>4.6900000000000004</v>
      </c>
      <c r="K379" s="31">
        <f>1.39*3.5</f>
        <v>4.8649999999999993</v>
      </c>
      <c r="L379" s="32">
        <f t="shared" si="183"/>
        <v>179.71163157894742</v>
      </c>
      <c r="M379" s="32">
        <f t="shared" si="184"/>
        <v>186.41728947368421</v>
      </c>
      <c r="N379" s="32">
        <f t="shared" si="185"/>
        <v>366.12892105263165</v>
      </c>
      <c r="O379" s="35"/>
      <c r="P379" s="3"/>
    </row>
    <row r="380" spans="1:16" s="4" customFormat="1" x14ac:dyDescent="0.25">
      <c r="A380" s="34">
        <f>IF(I380&lt;&gt;"",1+MAX($A$40:A379),"")</f>
        <v>285</v>
      </c>
      <c r="B380" s="26"/>
      <c r="C380" s="26"/>
      <c r="D380" s="27"/>
      <c r="E380" s="113" t="s">
        <v>251</v>
      </c>
      <c r="F380" s="124">
        <v>23.253750000000004</v>
      </c>
      <c r="G380" s="36">
        <v>0.1</v>
      </c>
      <c r="H380" s="29">
        <f t="shared" si="186"/>
        <v>25.579125000000005</v>
      </c>
      <c r="I380" s="114" t="s">
        <v>82</v>
      </c>
      <c r="J380" s="31">
        <f>0.89*40</f>
        <v>35.6</v>
      </c>
      <c r="K380" s="31">
        <f>1.86*40</f>
        <v>74.400000000000006</v>
      </c>
      <c r="L380" s="32">
        <f t="shared" si="183"/>
        <v>910.61685000000023</v>
      </c>
      <c r="M380" s="32">
        <f t="shared" si="184"/>
        <v>1903.0869000000005</v>
      </c>
      <c r="N380" s="32">
        <f t="shared" si="185"/>
        <v>2813.7037500000006</v>
      </c>
      <c r="O380" s="35"/>
      <c r="P380" s="3"/>
    </row>
    <row r="381" spans="1:16" s="4" customFormat="1" x14ac:dyDescent="0.25">
      <c r="A381" s="34">
        <f>IF(I381&lt;&gt;"",1+MAX($A$40:A380),"")</f>
        <v>286</v>
      </c>
      <c r="B381" s="26"/>
      <c r="C381" s="26"/>
      <c r="D381" s="27"/>
      <c r="E381" s="113" t="s">
        <v>252</v>
      </c>
      <c r="F381" s="124">
        <v>23.253750000000004</v>
      </c>
      <c r="G381" s="36">
        <v>0.1</v>
      </c>
      <c r="H381" s="29">
        <f t="shared" si="186"/>
        <v>25.579125000000005</v>
      </c>
      <c r="I381" s="114" t="s">
        <v>82</v>
      </c>
      <c r="J381" s="31">
        <f>0.98*40</f>
        <v>39.200000000000003</v>
      </c>
      <c r="K381" s="31">
        <f>2.02*40</f>
        <v>80.8</v>
      </c>
      <c r="L381" s="32">
        <f t="shared" si="183"/>
        <v>1002.7017000000003</v>
      </c>
      <c r="M381" s="32">
        <f t="shared" si="184"/>
        <v>2066.7933000000003</v>
      </c>
      <c r="N381" s="32">
        <f t="shared" si="185"/>
        <v>3069.4950000000008</v>
      </c>
      <c r="O381" s="35"/>
      <c r="P381" s="3"/>
    </row>
    <row r="382" spans="1:16" s="4" customFormat="1" x14ac:dyDescent="0.25">
      <c r="A382" s="34">
        <f>IF(I382&lt;&gt;"",1+MAX($A$40:A381),"")</f>
        <v>287</v>
      </c>
      <c r="B382" s="26"/>
      <c r="C382" s="26"/>
      <c r="D382" s="27"/>
      <c r="E382" s="113" t="s">
        <v>253</v>
      </c>
      <c r="F382" s="124">
        <v>2.8125</v>
      </c>
      <c r="G382" s="36">
        <v>0.1</v>
      </c>
      <c r="H382" s="29">
        <f t="shared" si="186"/>
        <v>3.0937500000000004</v>
      </c>
      <c r="I382" s="114" t="s">
        <v>82</v>
      </c>
      <c r="J382" s="31">
        <f>2.85*32</f>
        <v>91.2</v>
      </c>
      <c r="K382" s="31">
        <f>1.9*32</f>
        <v>60.8</v>
      </c>
      <c r="L382" s="32">
        <f t="shared" si="183"/>
        <v>282.15000000000003</v>
      </c>
      <c r="M382" s="32">
        <f t="shared" si="184"/>
        <v>188.10000000000002</v>
      </c>
      <c r="N382" s="32">
        <f t="shared" si="185"/>
        <v>470.25000000000006</v>
      </c>
      <c r="O382" s="35"/>
      <c r="P382" s="3"/>
    </row>
    <row r="383" spans="1:16" s="4" customFormat="1" x14ac:dyDescent="0.25">
      <c r="A383" s="34">
        <f>IF(I383&lt;&gt;"",1+MAX($A$40:A382),"")</f>
        <v>288</v>
      </c>
      <c r="B383" s="26"/>
      <c r="C383" s="26"/>
      <c r="D383" s="27"/>
      <c r="E383" s="113" t="s">
        <v>211</v>
      </c>
      <c r="F383" s="124">
        <v>930.15000000000009</v>
      </c>
      <c r="G383" s="36">
        <v>0.1</v>
      </c>
      <c r="H383" s="29">
        <f t="shared" si="186"/>
        <v>1023.1650000000002</v>
      </c>
      <c r="I383" s="114" t="s">
        <v>81</v>
      </c>
      <c r="J383" s="31">
        <v>1.93</v>
      </c>
      <c r="K383" s="31">
        <v>0.98</v>
      </c>
      <c r="L383" s="32">
        <f t="shared" si="183"/>
        <v>1974.7084500000003</v>
      </c>
      <c r="M383" s="32">
        <f t="shared" si="184"/>
        <v>1002.7017000000002</v>
      </c>
      <c r="N383" s="32">
        <f t="shared" si="185"/>
        <v>2977.4101500000006</v>
      </c>
      <c r="O383" s="35"/>
      <c r="P383" s="3"/>
    </row>
    <row r="384" spans="1:16" s="4" customFormat="1" x14ac:dyDescent="0.25">
      <c r="A384" s="34">
        <f>IF(I384&lt;&gt;"",1+MAX($A$40:A383),"")</f>
        <v>289</v>
      </c>
      <c r="B384" s="26"/>
      <c r="C384" s="26"/>
      <c r="D384" s="27"/>
      <c r="E384" s="113" t="s">
        <v>94</v>
      </c>
      <c r="F384" s="124">
        <v>90</v>
      </c>
      <c r="G384" s="36">
        <v>0.1</v>
      </c>
      <c r="H384" s="29">
        <f t="shared" si="186"/>
        <v>99.000000000000014</v>
      </c>
      <c r="I384" s="114" t="s">
        <v>80</v>
      </c>
      <c r="J384" s="31">
        <v>0.2</v>
      </c>
      <c r="K384" s="31">
        <v>0.6</v>
      </c>
      <c r="L384" s="32">
        <f t="shared" si="183"/>
        <v>19.800000000000004</v>
      </c>
      <c r="M384" s="32">
        <f t="shared" si="184"/>
        <v>59.400000000000006</v>
      </c>
      <c r="N384" s="32">
        <f t="shared" si="185"/>
        <v>79.200000000000017</v>
      </c>
      <c r="O384" s="35"/>
      <c r="P384" s="3"/>
    </row>
    <row r="385" spans="1:16" s="4" customFormat="1" x14ac:dyDescent="0.25">
      <c r="A385" s="34" t="str">
        <f>IF(I385&lt;&gt;"",1+MAX($A$40:A384),"")</f>
        <v/>
      </c>
      <c r="B385" s="26"/>
      <c r="C385" s="26"/>
      <c r="D385" s="27"/>
      <c r="E385" s="112" t="s">
        <v>254</v>
      </c>
      <c r="F385" s="124"/>
      <c r="G385" s="36"/>
      <c r="H385" s="29" t="str">
        <f t="shared" si="186"/>
        <v/>
      </c>
      <c r="I385" s="114"/>
      <c r="J385" s="31"/>
      <c r="K385" s="31"/>
      <c r="L385" s="32" t="str">
        <f t="shared" si="183"/>
        <v/>
      </c>
      <c r="M385" s="32" t="str">
        <f t="shared" si="184"/>
        <v/>
      </c>
      <c r="N385" s="32" t="str">
        <f t="shared" si="185"/>
        <v/>
      </c>
      <c r="O385" s="35"/>
      <c r="P385" s="3"/>
    </row>
    <row r="386" spans="1:16" s="4" customFormat="1" x14ac:dyDescent="0.25">
      <c r="A386" s="34">
        <f>IF(I386&lt;&gt;"",1+MAX($A$40:A385),"")</f>
        <v>290</v>
      </c>
      <c r="B386" s="26"/>
      <c r="C386" s="26"/>
      <c r="D386" s="27"/>
      <c r="E386" s="113" t="s">
        <v>204</v>
      </c>
      <c r="F386" s="124">
        <v>13.2775</v>
      </c>
      <c r="G386" s="36">
        <v>0.1</v>
      </c>
      <c r="H386" s="29">
        <f t="shared" si="186"/>
        <v>14.605250000000002</v>
      </c>
      <c r="I386" s="114" t="s">
        <v>80</v>
      </c>
      <c r="J386" s="31">
        <f>4.54*16</f>
        <v>72.64</v>
      </c>
      <c r="K386" s="31">
        <f>3.96*16</f>
        <v>63.36</v>
      </c>
      <c r="L386" s="32">
        <f t="shared" si="183"/>
        <v>1060.9253600000002</v>
      </c>
      <c r="M386" s="32">
        <f t="shared" si="184"/>
        <v>925.38864000000012</v>
      </c>
      <c r="N386" s="32">
        <f t="shared" si="185"/>
        <v>1986.3140000000003</v>
      </c>
      <c r="O386" s="35"/>
      <c r="P386" s="3"/>
    </row>
    <row r="387" spans="1:16" s="4" customFormat="1" x14ac:dyDescent="0.25">
      <c r="A387" s="34">
        <f>IF(I387&lt;&gt;"",1+MAX($A$40:A386),"")</f>
        <v>291</v>
      </c>
      <c r="B387" s="26"/>
      <c r="C387" s="26"/>
      <c r="D387" s="27"/>
      <c r="E387" s="113" t="s">
        <v>255</v>
      </c>
      <c r="F387" s="124">
        <v>40.932330827067666</v>
      </c>
      <c r="G387" s="36">
        <v>0.1</v>
      </c>
      <c r="H387" s="29">
        <f t="shared" si="186"/>
        <v>45.025563909774434</v>
      </c>
      <c r="I387" s="114" t="s">
        <v>79</v>
      </c>
      <c r="J387" s="31">
        <f>3.48*13.5</f>
        <v>46.98</v>
      </c>
      <c r="K387" s="31">
        <f>2.52*13.5</f>
        <v>34.020000000000003</v>
      </c>
      <c r="L387" s="32">
        <f t="shared" si="183"/>
        <v>2115.3009924812027</v>
      </c>
      <c r="M387" s="32">
        <f t="shared" si="184"/>
        <v>1531.7696842105263</v>
      </c>
      <c r="N387" s="32">
        <f t="shared" si="185"/>
        <v>3647.0706766917292</v>
      </c>
      <c r="O387" s="35"/>
      <c r="P387" s="3"/>
    </row>
    <row r="388" spans="1:16" s="4" customFormat="1" x14ac:dyDescent="0.25">
      <c r="A388" s="34">
        <f>IF(I388&lt;&gt;"",1+MAX($A$40:A387),"")</f>
        <v>292</v>
      </c>
      <c r="B388" s="26"/>
      <c r="C388" s="26"/>
      <c r="D388" s="27"/>
      <c r="E388" s="113" t="s">
        <v>256</v>
      </c>
      <c r="F388" s="124">
        <v>40.932330827067666</v>
      </c>
      <c r="G388" s="36">
        <v>0.1</v>
      </c>
      <c r="H388" s="29">
        <f t="shared" si="186"/>
        <v>45.025563909774434</v>
      </c>
      <c r="I388" s="114" t="s">
        <v>79</v>
      </c>
      <c r="J388" s="31">
        <f>3.48*12.5</f>
        <v>43.5</v>
      </c>
      <c r="K388" s="31">
        <f>2.52*12.5</f>
        <v>31.5</v>
      </c>
      <c r="L388" s="32">
        <f t="shared" si="183"/>
        <v>1958.6120300751879</v>
      </c>
      <c r="M388" s="32">
        <f t="shared" si="184"/>
        <v>1418.3052631578946</v>
      </c>
      <c r="N388" s="32">
        <f t="shared" si="185"/>
        <v>3376.9172932330825</v>
      </c>
      <c r="O388" s="35"/>
      <c r="P388" s="3"/>
    </row>
    <row r="389" spans="1:16" s="4" customFormat="1" x14ac:dyDescent="0.25">
      <c r="A389" s="34">
        <f>IF(I389&lt;&gt;"",1+MAX($A$40:A388),"")</f>
        <v>293</v>
      </c>
      <c r="B389" s="26"/>
      <c r="C389" s="26"/>
      <c r="D389" s="27"/>
      <c r="E389" s="113" t="s">
        <v>245</v>
      </c>
      <c r="F389" s="124">
        <v>40.735370000000003</v>
      </c>
      <c r="G389" s="36">
        <v>0.1</v>
      </c>
      <c r="H389" s="29">
        <f t="shared" si="186"/>
        <v>44.808907000000005</v>
      </c>
      <c r="I389" s="114" t="s">
        <v>82</v>
      </c>
      <c r="J389" s="31">
        <f>0.89*40</f>
        <v>35.6</v>
      </c>
      <c r="K389" s="31">
        <f>1.86*40</f>
        <v>74.400000000000006</v>
      </c>
      <c r="L389" s="32">
        <f t="shared" si="183"/>
        <v>1595.1970892000002</v>
      </c>
      <c r="M389" s="32">
        <f t="shared" si="184"/>
        <v>3333.7826808000004</v>
      </c>
      <c r="N389" s="32">
        <f t="shared" si="185"/>
        <v>4928.9797700000008</v>
      </c>
      <c r="O389" s="35"/>
      <c r="P389" s="3"/>
    </row>
    <row r="390" spans="1:16" s="4" customFormat="1" x14ac:dyDescent="0.25">
      <c r="A390" s="34">
        <f>IF(I390&lt;&gt;"",1+MAX($A$40:A389),"")</f>
        <v>294</v>
      </c>
      <c r="B390" s="26"/>
      <c r="C390" s="26"/>
      <c r="D390" s="27"/>
      <c r="E390" s="113" t="s">
        <v>206</v>
      </c>
      <c r="F390" s="124">
        <v>6.6387499999999999</v>
      </c>
      <c r="G390" s="36">
        <v>0.1</v>
      </c>
      <c r="H390" s="29">
        <f t="shared" si="186"/>
        <v>7.3026250000000008</v>
      </c>
      <c r="I390" s="114" t="s">
        <v>79</v>
      </c>
      <c r="J390" s="31">
        <f t="shared" ref="J390" si="190">2.03*16</f>
        <v>32.479999999999997</v>
      </c>
      <c r="K390" s="31">
        <v>36.799999999999997</v>
      </c>
      <c r="L390" s="32">
        <f t="shared" si="183"/>
        <v>237.18925999999999</v>
      </c>
      <c r="M390" s="32">
        <f t="shared" si="184"/>
        <v>268.73660000000001</v>
      </c>
      <c r="N390" s="32">
        <f t="shared" si="185"/>
        <v>505.92586</v>
      </c>
      <c r="O390" s="35"/>
      <c r="P390" s="3"/>
    </row>
    <row r="391" spans="1:16" s="4" customFormat="1" x14ac:dyDescent="0.25">
      <c r="A391" s="34">
        <f>IF(I391&lt;&gt;"",1+MAX($A$40:A390),"")</f>
        <v>295</v>
      </c>
      <c r="B391" s="26"/>
      <c r="C391" s="26"/>
      <c r="D391" s="27"/>
      <c r="E391" s="113" t="s">
        <v>250</v>
      </c>
      <c r="F391" s="124">
        <v>40.932330827067666</v>
      </c>
      <c r="G391" s="36">
        <v>0.1</v>
      </c>
      <c r="H391" s="29">
        <f t="shared" si="186"/>
        <v>45.025563909774434</v>
      </c>
      <c r="I391" s="114" t="s">
        <v>79</v>
      </c>
      <c r="J391" s="31">
        <f>1.34*3.5</f>
        <v>4.6900000000000004</v>
      </c>
      <c r="K391" s="31">
        <f>1.39*3.5</f>
        <v>4.8649999999999993</v>
      </c>
      <c r="L391" s="32">
        <f t="shared" si="183"/>
        <v>211.16989473684211</v>
      </c>
      <c r="M391" s="32">
        <f t="shared" si="184"/>
        <v>219.04936842105258</v>
      </c>
      <c r="N391" s="32">
        <f t="shared" si="185"/>
        <v>430.21926315789472</v>
      </c>
      <c r="O391" s="35"/>
      <c r="P391" s="3"/>
    </row>
    <row r="392" spans="1:16" s="4" customFormat="1" x14ac:dyDescent="0.25">
      <c r="A392" s="34">
        <f>IF(I392&lt;&gt;"",1+MAX($A$40:A391),"")</f>
        <v>296</v>
      </c>
      <c r="B392" s="26"/>
      <c r="C392" s="26"/>
      <c r="D392" s="27"/>
      <c r="E392" s="113" t="s">
        <v>211</v>
      </c>
      <c r="F392" s="124">
        <v>1629.4148</v>
      </c>
      <c r="G392" s="36">
        <v>0.1</v>
      </c>
      <c r="H392" s="29">
        <f t="shared" si="186"/>
        <v>1792.3562800000002</v>
      </c>
      <c r="I392" s="114" t="s">
        <v>81</v>
      </c>
      <c r="J392" s="31">
        <v>1.93</v>
      </c>
      <c r="K392" s="31">
        <v>0.98</v>
      </c>
      <c r="L392" s="32">
        <f t="shared" si="183"/>
        <v>3459.2476204000004</v>
      </c>
      <c r="M392" s="32">
        <f t="shared" si="184"/>
        <v>1756.5091544000002</v>
      </c>
      <c r="N392" s="32">
        <f t="shared" si="185"/>
        <v>5215.7567748000001</v>
      </c>
      <c r="O392" s="35"/>
      <c r="P392" s="3"/>
    </row>
    <row r="393" spans="1:16" s="4" customFormat="1" x14ac:dyDescent="0.25">
      <c r="A393" s="34">
        <f>IF(I393&lt;&gt;"",1+MAX($A$40:A392),"")</f>
        <v>297</v>
      </c>
      <c r="B393" s="26"/>
      <c r="C393" s="26"/>
      <c r="D393" s="27"/>
      <c r="E393" s="113" t="s">
        <v>94</v>
      </c>
      <c r="F393" s="124">
        <v>106.22</v>
      </c>
      <c r="G393" s="36">
        <v>0.1</v>
      </c>
      <c r="H393" s="29">
        <f t="shared" si="186"/>
        <v>116.84200000000001</v>
      </c>
      <c r="I393" s="114" t="s">
        <v>80</v>
      </c>
      <c r="J393" s="31">
        <v>0.2</v>
      </c>
      <c r="K393" s="31">
        <v>0.6</v>
      </c>
      <c r="L393" s="32">
        <f t="shared" si="183"/>
        <v>23.368400000000005</v>
      </c>
      <c r="M393" s="32">
        <f t="shared" si="184"/>
        <v>70.105200000000011</v>
      </c>
      <c r="N393" s="32">
        <f t="shared" si="185"/>
        <v>93.473600000000019</v>
      </c>
      <c r="O393" s="35"/>
      <c r="P393" s="3"/>
    </row>
    <row r="394" spans="1:16" s="4" customFormat="1" x14ac:dyDescent="0.25">
      <c r="A394" s="34" t="str">
        <f>IF(I394&lt;&gt;"",1+MAX($A$40:A393),"")</f>
        <v/>
      </c>
      <c r="B394" s="26"/>
      <c r="C394" s="26"/>
      <c r="D394" s="27"/>
      <c r="E394" s="112" t="s">
        <v>257</v>
      </c>
      <c r="F394" s="124"/>
      <c r="G394" s="36"/>
      <c r="H394" s="29" t="str">
        <f t="shared" si="186"/>
        <v/>
      </c>
      <c r="I394" s="114"/>
      <c r="J394" s="31"/>
      <c r="K394" s="31"/>
      <c r="L394" s="32" t="str">
        <f t="shared" si="183"/>
        <v/>
      </c>
      <c r="M394" s="32" t="str">
        <f t="shared" si="184"/>
        <v/>
      </c>
      <c r="N394" s="32" t="str">
        <f t="shared" si="185"/>
        <v/>
      </c>
      <c r="O394" s="35"/>
      <c r="P394" s="3"/>
    </row>
    <row r="395" spans="1:16" s="4" customFormat="1" x14ac:dyDescent="0.25">
      <c r="A395" s="34">
        <f>IF(I395&lt;&gt;"",1+MAX($A$40:A394),"")</f>
        <v>298</v>
      </c>
      <c r="B395" s="26"/>
      <c r="C395" s="26"/>
      <c r="D395" s="27"/>
      <c r="E395" s="113" t="s">
        <v>258</v>
      </c>
      <c r="F395" s="124">
        <v>9.75</v>
      </c>
      <c r="G395" s="36">
        <v>0.1</v>
      </c>
      <c r="H395" s="29">
        <f t="shared" si="186"/>
        <v>10.725000000000001</v>
      </c>
      <c r="I395" s="114" t="s">
        <v>79</v>
      </c>
      <c r="J395" s="31">
        <f>2.28*16</f>
        <v>36.479999999999997</v>
      </c>
      <c r="K395" s="31">
        <v>41.4</v>
      </c>
      <c r="L395" s="32">
        <f t="shared" si="183"/>
        <v>391.24799999999999</v>
      </c>
      <c r="M395" s="32">
        <f t="shared" si="184"/>
        <v>444.01500000000004</v>
      </c>
      <c r="N395" s="32">
        <f t="shared" si="185"/>
        <v>835.26300000000003</v>
      </c>
      <c r="O395" s="35"/>
      <c r="P395" s="3"/>
    </row>
    <row r="396" spans="1:16" s="4" customFormat="1" x14ac:dyDescent="0.25">
      <c r="A396" s="34">
        <f>IF(I396&lt;&gt;"",1+MAX($A$40:A395),"")</f>
        <v>299</v>
      </c>
      <c r="B396" s="26"/>
      <c r="C396" s="26"/>
      <c r="D396" s="27"/>
      <c r="E396" s="113" t="s">
        <v>259</v>
      </c>
      <c r="F396" s="124">
        <v>59.646616541353382</v>
      </c>
      <c r="G396" s="36">
        <v>0.1</v>
      </c>
      <c r="H396" s="29">
        <f t="shared" si="186"/>
        <v>65.611278195488723</v>
      </c>
      <c r="I396" s="114" t="s">
        <v>79</v>
      </c>
      <c r="J396" s="31">
        <f>1.45*2</f>
        <v>2.9</v>
      </c>
      <c r="K396" s="31">
        <f>1.47*2</f>
        <v>2.94</v>
      </c>
      <c r="L396" s="32">
        <f t="shared" si="183"/>
        <v>190.27270676691728</v>
      </c>
      <c r="M396" s="32">
        <f t="shared" si="184"/>
        <v>192.89715789473684</v>
      </c>
      <c r="N396" s="32">
        <f t="shared" si="185"/>
        <v>383.16986466165412</v>
      </c>
      <c r="O396" s="35"/>
      <c r="P396" s="3"/>
    </row>
    <row r="397" spans="1:16" s="4" customFormat="1" x14ac:dyDescent="0.25">
      <c r="A397" s="34">
        <f>IF(I397&lt;&gt;"",1+MAX($A$40:A396),"")</f>
        <v>300</v>
      </c>
      <c r="B397" s="26"/>
      <c r="C397" s="26"/>
      <c r="D397" s="27"/>
      <c r="E397" s="113" t="s">
        <v>260</v>
      </c>
      <c r="F397" s="124">
        <v>59.646616541353382</v>
      </c>
      <c r="G397" s="36">
        <v>0.1</v>
      </c>
      <c r="H397" s="29">
        <f t="shared" si="186"/>
        <v>65.611278195488723</v>
      </c>
      <c r="I397" s="114" t="s">
        <v>79</v>
      </c>
      <c r="J397" s="31">
        <f>1.45*2.83</f>
        <v>4.1035000000000004</v>
      </c>
      <c r="K397" s="31">
        <f>1.47*2.83</f>
        <v>4.1600999999999999</v>
      </c>
      <c r="L397" s="32">
        <f t="shared" si="183"/>
        <v>269.23588007518799</v>
      </c>
      <c r="M397" s="32">
        <f t="shared" si="184"/>
        <v>272.94947842105262</v>
      </c>
      <c r="N397" s="32">
        <f t="shared" si="185"/>
        <v>542.18535849624061</v>
      </c>
      <c r="O397" s="35"/>
      <c r="P397" s="3"/>
    </row>
    <row r="398" spans="1:16" s="4" customFormat="1" x14ac:dyDescent="0.25">
      <c r="A398" s="34">
        <f>IF(I398&lt;&gt;"",1+MAX($A$40:A397),"")</f>
        <v>301</v>
      </c>
      <c r="B398" s="26"/>
      <c r="C398" s="26"/>
      <c r="D398" s="27"/>
      <c r="E398" s="113" t="s">
        <v>261</v>
      </c>
      <c r="F398" s="124">
        <v>59.646616541353382</v>
      </c>
      <c r="G398" s="36">
        <v>0.1</v>
      </c>
      <c r="H398" s="29">
        <f t="shared" si="186"/>
        <v>65.611278195488723</v>
      </c>
      <c r="I398" s="114" t="s">
        <v>79</v>
      </c>
      <c r="J398" s="31">
        <f>1.34*1</f>
        <v>1.34</v>
      </c>
      <c r="K398" s="31">
        <f>1.39*1</f>
        <v>1.39</v>
      </c>
      <c r="L398" s="32">
        <f t="shared" si="183"/>
        <v>87.919112781954894</v>
      </c>
      <c r="M398" s="32">
        <f t="shared" si="184"/>
        <v>91.199676691729323</v>
      </c>
      <c r="N398" s="32">
        <f t="shared" si="185"/>
        <v>179.11878947368422</v>
      </c>
      <c r="O398" s="35"/>
      <c r="P398" s="3"/>
    </row>
    <row r="399" spans="1:16" s="4" customFormat="1" x14ac:dyDescent="0.25">
      <c r="A399" s="34">
        <f>IF(I399&lt;&gt;"",1+MAX($A$40:A398),"")</f>
        <v>302</v>
      </c>
      <c r="B399" s="26"/>
      <c r="C399" s="26"/>
      <c r="D399" s="27"/>
      <c r="E399" s="113" t="s">
        <v>262</v>
      </c>
      <c r="F399" s="124">
        <v>59.646616541353382</v>
      </c>
      <c r="G399" s="36">
        <v>0.1</v>
      </c>
      <c r="H399" s="29">
        <f t="shared" si="186"/>
        <v>65.611278195488723</v>
      </c>
      <c r="I399" s="114" t="s">
        <v>79</v>
      </c>
      <c r="J399" s="31">
        <f>4.2*3</f>
        <v>12.600000000000001</v>
      </c>
      <c r="K399" s="31">
        <f>1.6*3</f>
        <v>4.8000000000000007</v>
      </c>
      <c r="L399" s="32">
        <f t="shared" si="183"/>
        <v>826.70210526315805</v>
      </c>
      <c r="M399" s="32">
        <f t="shared" si="184"/>
        <v>314.93413533834592</v>
      </c>
      <c r="N399" s="32">
        <f t="shared" si="185"/>
        <v>1141.6362406015039</v>
      </c>
      <c r="O399" s="35"/>
      <c r="P399" s="3"/>
    </row>
    <row r="400" spans="1:16" s="4" customFormat="1" x14ac:dyDescent="0.25">
      <c r="A400" s="34">
        <f>IF(I400&lt;&gt;"",1+MAX($A$40:A399),"")</f>
        <v>303</v>
      </c>
      <c r="B400" s="26"/>
      <c r="C400" s="26"/>
      <c r="D400" s="27"/>
      <c r="E400" s="113" t="s">
        <v>263</v>
      </c>
      <c r="F400" s="124">
        <v>9.75</v>
      </c>
      <c r="G400" s="36">
        <v>0.1</v>
      </c>
      <c r="H400" s="29">
        <f t="shared" si="186"/>
        <v>10.725000000000001</v>
      </c>
      <c r="I400" s="114" t="s">
        <v>82</v>
      </c>
      <c r="J400" s="31">
        <f>0.98*32</f>
        <v>31.36</v>
      </c>
      <c r="K400" s="31">
        <f>2.02*32</f>
        <v>64.64</v>
      </c>
      <c r="L400" s="32">
        <f t="shared" si="183"/>
        <v>336.33600000000001</v>
      </c>
      <c r="M400" s="32">
        <f t="shared" si="184"/>
        <v>693.26400000000012</v>
      </c>
      <c r="N400" s="32">
        <f t="shared" si="185"/>
        <v>1029.6000000000001</v>
      </c>
      <c r="O400" s="35"/>
      <c r="P400" s="3"/>
    </row>
    <row r="401" spans="1:16" s="4" customFormat="1" x14ac:dyDescent="0.25">
      <c r="A401" s="34" t="str">
        <f>IF(I401&lt;&gt;"",1+MAX($A$40:A400),"")</f>
        <v/>
      </c>
      <c r="B401" s="26"/>
      <c r="C401" s="26"/>
      <c r="D401" s="27"/>
      <c r="E401" s="112" t="s">
        <v>264</v>
      </c>
      <c r="F401" s="124"/>
      <c r="G401" s="129"/>
      <c r="H401" s="130" t="str">
        <f t="shared" si="186"/>
        <v/>
      </c>
      <c r="I401" s="114"/>
      <c r="J401" s="131"/>
      <c r="K401" s="131"/>
      <c r="L401" s="132" t="str">
        <f t="shared" si="183"/>
        <v/>
      </c>
      <c r="M401" s="132" t="str">
        <f t="shared" si="184"/>
        <v/>
      </c>
      <c r="N401" s="132" t="str">
        <f t="shared" si="185"/>
        <v/>
      </c>
      <c r="O401" s="35"/>
      <c r="P401" s="3"/>
    </row>
    <row r="402" spans="1:16" s="4" customFormat="1" ht="31.5" x14ac:dyDescent="0.25">
      <c r="A402" s="34">
        <f>IF(I402&lt;&gt;"",1+MAX($A$40:A401),"")</f>
        <v>304</v>
      </c>
      <c r="B402" s="26"/>
      <c r="C402" s="26"/>
      <c r="D402" s="27"/>
      <c r="E402" s="115" t="s">
        <v>265</v>
      </c>
      <c r="F402" s="124">
        <v>15.125</v>
      </c>
      <c r="G402" s="129">
        <v>0.1</v>
      </c>
      <c r="H402" s="130">
        <f t="shared" si="186"/>
        <v>16.637500000000003</v>
      </c>
      <c r="I402" s="114" t="s">
        <v>79</v>
      </c>
      <c r="J402" s="131">
        <f>4.22*16</f>
        <v>67.52</v>
      </c>
      <c r="K402" s="131">
        <f>1.54*16</f>
        <v>24.64</v>
      </c>
      <c r="L402" s="132">
        <f t="shared" si="183"/>
        <v>1123.364</v>
      </c>
      <c r="M402" s="132">
        <f t="shared" si="184"/>
        <v>409.94800000000009</v>
      </c>
      <c r="N402" s="132">
        <f t="shared" si="185"/>
        <v>1533.3120000000001</v>
      </c>
      <c r="O402" s="35"/>
      <c r="P402" s="3"/>
    </row>
    <row r="403" spans="1:16" s="4" customFormat="1" x14ac:dyDescent="0.25">
      <c r="A403" s="34" t="str">
        <f>IF(I403&lt;&gt;"",1+MAX($A$40:A402),"")</f>
        <v/>
      </c>
      <c r="B403" s="26"/>
      <c r="C403" s="26"/>
      <c r="D403" s="27"/>
      <c r="E403" s="112" t="s">
        <v>266</v>
      </c>
      <c r="F403" s="124"/>
      <c r="G403" s="129"/>
      <c r="H403" s="130" t="str">
        <f t="shared" si="186"/>
        <v/>
      </c>
      <c r="I403" s="114"/>
      <c r="J403" s="131"/>
      <c r="K403" s="131"/>
      <c r="L403" s="132" t="str">
        <f t="shared" si="183"/>
        <v/>
      </c>
      <c r="M403" s="132" t="str">
        <f t="shared" si="184"/>
        <v/>
      </c>
      <c r="N403" s="132" t="str">
        <f t="shared" si="185"/>
        <v/>
      </c>
      <c r="O403" s="35"/>
      <c r="P403" s="3"/>
    </row>
    <row r="404" spans="1:16" s="4" customFormat="1" x14ac:dyDescent="0.25">
      <c r="A404" s="34">
        <f>IF(I404&lt;&gt;"",1+MAX($A$40:A403),"")</f>
        <v>305</v>
      </c>
      <c r="B404" s="26"/>
      <c r="C404" s="26"/>
      <c r="D404" s="27"/>
      <c r="E404" s="113" t="s">
        <v>258</v>
      </c>
      <c r="F404" s="124">
        <v>16.920000000000002</v>
      </c>
      <c r="G404" s="129">
        <v>0.1</v>
      </c>
      <c r="H404" s="130">
        <f t="shared" si="186"/>
        <v>18.612000000000002</v>
      </c>
      <c r="I404" s="114" t="s">
        <v>79</v>
      </c>
      <c r="J404" s="131">
        <f>2.28*16</f>
        <v>36.479999999999997</v>
      </c>
      <c r="K404" s="131">
        <v>41.4</v>
      </c>
      <c r="L404" s="132">
        <f t="shared" si="183"/>
        <v>678.96576000000005</v>
      </c>
      <c r="M404" s="132">
        <f t="shared" si="184"/>
        <v>770.53680000000008</v>
      </c>
      <c r="N404" s="132">
        <f t="shared" si="185"/>
        <v>1449.5025600000001</v>
      </c>
      <c r="O404" s="35"/>
      <c r="P404" s="3"/>
    </row>
    <row r="405" spans="1:16" s="4" customFormat="1" x14ac:dyDescent="0.25">
      <c r="A405" s="34">
        <f>IF(I405&lt;&gt;"",1+MAX($A$40:A404),"")</f>
        <v>306</v>
      </c>
      <c r="B405" s="26"/>
      <c r="C405" s="26"/>
      <c r="D405" s="27"/>
      <c r="E405" s="113" t="s">
        <v>259</v>
      </c>
      <c r="F405" s="124">
        <v>102.77443609022556</v>
      </c>
      <c r="G405" s="129">
        <v>0.1</v>
      </c>
      <c r="H405" s="130">
        <f t="shared" si="186"/>
        <v>113.05187969924813</v>
      </c>
      <c r="I405" s="114" t="s">
        <v>79</v>
      </c>
      <c r="J405" s="131">
        <f>1.45*2</f>
        <v>2.9</v>
      </c>
      <c r="K405" s="131">
        <f>1.47*2</f>
        <v>2.94</v>
      </c>
      <c r="L405" s="132">
        <f t="shared" si="183"/>
        <v>327.85045112781955</v>
      </c>
      <c r="M405" s="132">
        <f t="shared" si="184"/>
        <v>332.37252631578951</v>
      </c>
      <c r="N405" s="132">
        <f t="shared" si="185"/>
        <v>660.22297744360912</v>
      </c>
      <c r="O405" s="35"/>
      <c r="P405" s="3"/>
    </row>
    <row r="406" spans="1:16" s="4" customFormat="1" x14ac:dyDescent="0.25">
      <c r="A406" s="34">
        <f>IF(I406&lt;&gt;"",1+MAX($A$40:A405),"")</f>
        <v>307</v>
      </c>
      <c r="B406" s="26"/>
      <c r="C406" s="26"/>
      <c r="D406" s="27"/>
      <c r="E406" s="113" t="s">
        <v>267</v>
      </c>
      <c r="F406" s="124">
        <v>6.3450000000000006</v>
      </c>
      <c r="G406" s="129">
        <v>0.1</v>
      </c>
      <c r="H406" s="130">
        <f t="shared" si="186"/>
        <v>6.9795000000000016</v>
      </c>
      <c r="I406" s="114" t="s">
        <v>82</v>
      </c>
      <c r="J406" s="131">
        <f>0.98*32</f>
        <v>31.36</v>
      </c>
      <c r="K406" s="131">
        <f>2.02*32</f>
        <v>64.64</v>
      </c>
      <c r="L406" s="132">
        <f t="shared" si="183"/>
        <v>218.87712000000005</v>
      </c>
      <c r="M406" s="132">
        <f t="shared" si="184"/>
        <v>451.15488000000011</v>
      </c>
      <c r="N406" s="132">
        <f t="shared" si="185"/>
        <v>670.03200000000015</v>
      </c>
      <c r="O406" s="35"/>
      <c r="P406" s="3"/>
    </row>
    <row r="407" spans="1:16" s="4" customFormat="1" x14ac:dyDescent="0.25">
      <c r="A407" s="34">
        <f>IF(I407&lt;&gt;"",1+MAX($A$40:A406),"")</f>
        <v>308</v>
      </c>
      <c r="B407" s="26"/>
      <c r="C407" s="26"/>
      <c r="D407" s="27"/>
      <c r="E407" s="113" t="s">
        <v>268</v>
      </c>
      <c r="F407" s="124">
        <v>6.3450000000000006</v>
      </c>
      <c r="G407" s="129">
        <v>0.1</v>
      </c>
      <c r="H407" s="130">
        <f t="shared" si="186"/>
        <v>6.9795000000000016</v>
      </c>
      <c r="I407" s="114" t="s">
        <v>82</v>
      </c>
      <c r="J407" s="131">
        <f>2.9*32</f>
        <v>92.8</v>
      </c>
      <c r="K407" s="131">
        <f>1.95*32</f>
        <v>62.4</v>
      </c>
      <c r="L407" s="132">
        <f t="shared" si="183"/>
        <v>647.69760000000008</v>
      </c>
      <c r="M407" s="132">
        <f t="shared" si="184"/>
        <v>435.52080000000007</v>
      </c>
      <c r="N407" s="132">
        <f t="shared" si="185"/>
        <v>1083.2184000000002</v>
      </c>
      <c r="O407" s="35"/>
      <c r="P407" s="3"/>
    </row>
    <row r="408" spans="1:16" s="4" customFormat="1" ht="31.5" x14ac:dyDescent="0.25">
      <c r="A408" s="34">
        <f>IF(I408&lt;&gt;"",1+MAX($A$40:A407),"")</f>
        <v>309</v>
      </c>
      <c r="B408" s="26"/>
      <c r="C408" s="26"/>
      <c r="D408" s="27"/>
      <c r="E408" s="115" t="s">
        <v>269</v>
      </c>
      <c r="F408" s="124">
        <v>16.920000000000002</v>
      </c>
      <c r="G408" s="129">
        <v>0.1</v>
      </c>
      <c r="H408" s="130">
        <f t="shared" si="186"/>
        <v>18.612000000000002</v>
      </c>
      <c r="I408" s="114" t="s">
        <v>79</v>
      </c>
      <c r="J408" s="131">
        <f>6.66*16</f>
        <v>106.56</v>
      </c>
      <c r="K408" s="131">
        <f>2.85*16</f>
        <v>45.6</v>
      </c>
      <c r="L408" s="132">
        <f t="shared" si="183"/>
        <v>1983.2947200000003</v>
      </c>
      <c r="M408" s="132">
        <f t="shared" si="184"/>
        <v>848.70720000000006</v>
      </c>
      <c r="N408" s="132">
        <f t="shared" si="185"/>
        <v>2832.0019200000006</v>
      </c>
      <c r="O408" s="35"/>
      <c r="P408" s="3"/>
    </row>
    <row r="409" spans="1:16" s="4" customFormat="1" x14ac:dyDescent="0.25">
      <c r="A409" s="34" t="str">
        <f>IF(I409&lt;&gt;"",1+MAX($A$40:A408),"")</f>
        <v/>
      </c>
      <c r="B409" s="26"/>
      <c r="C409" s="26"/>
      <c r="D409" s="27"/>
      <c r="E409" s="112" t="s">
        <v>270</v>
      </c>
      <c r="F409" s="124"/>
      <c r="G409" s="129"/>
      <c r="H409" s="130" t="str">
        <f t="shared" si="186"/>
        <v/>
      </c>
      <c r="I409" s="114"/>
      <c r="J409" s="131"/>
      <c r="K409" s="131"/>
      <c r="L409" s="132" t="str">
        <f t="shared" si="183"/>
        <v/>
      </c>
      <c r="M409" s="132" t="str">
        <f t="shared" si="184"/>
        <v/>
      </c>
      <c r="N409" s="132" t="str">
        <f t="shared" si="185"/>
        <v/>
      </c>
      <c r="O409" s="35"/>
      <c r="P409" s="3"/>
    </row>
    <row r="410" spans="1:16" s="4" customFormat="1" x14ac:dyDescent="0.25">
      <c r="A410" s="34">
        <f>IF(I410&lt;&gt;"",1+MAX($A$40:A409),"")</f>
        <v>310</v>
      </c>
      <c r="B410" s="26"/>
      <c r="C410" s="26"/>
      <c r="D410" s="27"/>
      <c r="E410" s="113" t="s">
        <v>258</v>
      </c>
      <c r="F410" s="124">
        <v>4.8600000000000003</v>
      </c>
      <c r="G410" s="129">
        <v>0.1</v>
      </c>
      <c r="H410" s="130">
        <f t="shared" si="186"/>
        <v>5.346000000000001</v>
      </c>
      <c r="I410" s="114" t="s">
        <v>79</v>
      </c>
      <c r="J410" s="131">
        <f>2.28*16</f>
        <v>36.479999999999997</v>
      </c>
      <c r="K410" s="131">
        <v>41.4</v>
      </c>
      <c r="L410" s="132">
        <f t="shared" si="183"/>
        <v>195.02208000000002</v>
      </c>
      <c r="M410" s="132">
        <f t="shared" si="184"/>
        <v>221.32440000000003</v>
      </c>
      <c r="N410" s="132">
        <f t="shared" si="185"/>
        <v>416.34648000000004</v>
      </c>
      <c r="O410" s="35"/>
      <c r="P410" s="3"/>
    </row>
    <row r="411" spans="1:16" s="4" customFormat="1" x14ac:dyDescent="0.25">
      <c r="A411" s="34">
        <f>IF(I411&lt;&gt;"",1+MAX($A$40:A410),"")</f>
        <v>311</v>
      </c>
      <c r="B411" s="26"/>
      <c r="C411" s="26"/>
      <c r="D411" s="27"/>
      <c r="E411" s="113" t="s">
        <v>271</v>
      </c>
      <c r="F411" s="124">
        <v>30.233082706766918</v>
      </c>
      <c r="G411" s="129">
        <v>0.1</v>
      </c>
      <c r="H411" s="130">
        <f t="shared" si="186"/>
        <v>33.256390977443615</v>
      </c>
      <c r="I411" s="114" t="s">
        <v>79</v>
      </c>
      <c r="J411" s="131">
        <f>1.45*3.83</f>
        <v>5.5534999999999997</v>
      </c>
      <c r="K411" s="131">
        <f>1.47*3.83</f>
        <v>5.6300999999999997</v>
      </c>
      <c r="L411" s="132">
        <f t="shared" si="183"/>
        <v>184.68936729323312</v>
      </c>
      <c r="M411" s="132">
        <f t="shared" si="184"/>
        <v>187.2368068421053</v>
      </c>
      <c r="N411" s="132">
        <f t="shared" si="185"/>
        <v>371.92617413533844</v>
      </c>
      <c r="O411" s="35"/>
      <c r="P411" s="3"/>
    </row>
    <row r="412" spans="1:16" s="4" customFormat="1" x14ac:dyDescent="0.25">
      <c r="A412" s="34">
        <f>IF(I412&lt;&gt;"",1+MAX($A$40:A411),"")</f>
        <v>312</v>
      </c>
      <c r="B412" s="26"/>
      <c r="C412" s="26"/>
      <c r="D412" s="27"/>
      <c r="E412" s="113" t="s">
        <v>272</v>
      </c>
      <c r="F412" s="124">
        <v>3.8649150000000003</v>
      </c>
      <c r="G412" s="129">
        <v>0.1</v>
      </c>
      <c r="H412" s="130">
        <f t="shared" si="186"/>
        <v>4.2514065000000008</v>
      </c>
      <c r="I412" s="114" t="s">
        <v>82</v>
      </c>
      <c r="J412" s="131">
        <f>0.98*32</f>
        <v>31.36</v>
      </c>
      <c r="K412" s="131">
        <f>2.02*32</f>
        <v>64.64</v>
      </c>
      <c r="L412" s="132">
        <f t="shared" si="183"/>
        <v>133.32410784000001</v>
      </c>
      <c r="M412" s="132">
        <f t="shared" si="184"/>
        <v>274.81091616000003</v>
      </c>
      <c r="N412" s="132">
        <f t="shared" si="185"/>
        <v>408.13502400000004</v>
      </c>
      <c r="O412" s="35"/>
      <c r="P412" s="3"/>
    </row>
    <row r="413" spans="1:16" s="4" customFormat="1" x14ac:dyDescent="0.25">
      <c r="A413" s="34">
        <f>IF(I413&lt;&gt;"",1+MAX($A$40:A412),"")</f>
        <v>313</v>
      </c>
      <c r="B413" s="26"/>
      <c r="C413" s="26"/>
      <c r="D413" s="27"/>
      <c r="E413" s="113" t="s">
        <v>273</v>
      </c>
      <c r="F413" s="124">
        <v>3.8649150000000003</v>
      </c>
      <c r="G413" s="129">
        <v>0.1</v>
      </c>
      <c r="H413" s="130">
        <f t="shared" si="186"/>
        <v>4.2514065000000008</v>
      </c>
      <c r="I413" s="114" t="s">
        <v>82</v>
      </c>
      <c r="J413" s="131">
        <f>2.9*32</f>
        <v>92.8</v>
      </c>
      <c r="K413" s="131">
        <f>1.95*32</f>
        <v>62.4</v>
      </c>
      <c r="L413" s="132">
        <f t="shared" si="183"/>
        <v>394.53052320000006</v>
      </c>
      <c r="M413" s="132">
        <f t="shared" si="184"/>
        <v>265.28776560000006</v>
      </c>
      <c r="N413" s="132">
        <f t="shared" si="185"/>
        <v>659.81828880000012</v>
      </c>
      <c r="O413" s="35"/>
      <c r="P413" s="3"/>
    </row>
    <row r="414" spans="1:16" s="4" customFormat="1" ht="31.5" x14ac:dyDescent="0.25">
      <c r="A414" s="34">
        <f>IF(I414&lt;&gt;"",1+MAX($A$40:A413),"")</f>
        <v>314</v>
      </c>
      <c r="B414" s="26"/>
      <c r="C414" s="26"/>
      <c r="D414" s="27"/>
      <c r="E414" s="115" t="s">
        <v>269</v>
      </c>
      <c r="F414" s="124">
        <v>4.8600000000000003</v>
      </c>
      <c r="G414" s="129">
        <v>0.1</v>
      </c>
      <c r="H414" s="130">
        <f t="shared" si="186"/>
        <v>5.346000000000001</v>
      </c>
      <c r="I414" s="114" t="s">
        <v>79</v>
      </c>
      <c r="J414" s="131">
        <f>6.66*16</f>
        <v>106.56</v>
      </c>
      <c r="K414" s="131">
        <f>2.85*16</f>
        <v>45.6</v>
      </c>
      <c r="L414" s="132">
        <f t="shared" si="183"/>
        <v>569.66976000000011</v>
      </c>
      <c r="M414" s="132">
        <f t="shared" si="184"/>
        <v>243.77760000000006</v>
      </c>
      <c r="N414" s="132">
        <f t="shared" si="185"/>
        <v>813.44736000000012</v>
      </c>
      <c r="O414" s="35"/>
      <c r="P414" s="3"/>
    </row>
    <row r="415" spans="1:16" s="4" customFormat="1" x14ac:dyDescent="0.25">
      <c r="A415" s="34" t="str">
        <f>IF(I415&lt;&gt;"",1+MAX($A$40:A414),"")</f>
        <v/>
      </c>
      <c r="B415" s="26"/>
      <c r="C415" s="26"/>
      <c r="D415" s="27"/>
      <c r="E415" s="112" t="s">
        <v>274</v>
      </c>
      <c r="F415" s="124"/>
      <c r="G415" s="129"/>
      <c r="H415" s="130" t="str">
        <f t="shared" si="186"/>
        <v/>
      </c>
      <c r="I415" s="114"/>
      <c r="J415" s="131"/>
      <c r="K415" s="131"/>
      <c r="L415" s="132" t="str">
        <f t="shared" si="183"/>
        <v/>
      </c>
      <c r="M415" s="132" t="str">
        <f t="shared" si="184"/>
        <v/>
      </c>
      <c r="N415" s="132" t="str">
        <f t="shared" si="185"/>
        <v/>
      </c>
      <c r="O415" s="35"/>
      <c r="P415" s="3"/>
    </row>
    <row r="416" spans="1:16" s="4" customFormat="1" x14ac:dyDescent="0.25">
      <c r="A416" s="34">
        <f>IF(I416&lt;&gt;"",1+MAX($A$40:A415),"")</f>
        <v>315</v>
      </c>
      <c r="B416" s="26"/>
      <c r="C416" s="26"/>
      <c r="D416" s="27"/>
      <c r="E416" s="113" t="s">
        <v>258</v>
      </c>
      <c r="F416" s="124">
        <v>29.625</v>
      </c>
      <c r="G416" s="129">
        <v>0.1</v>
      </c>
      <c r="H416" s="130">
        <f t="shared" si="186"/>
        <v>32.587500000000006</v>
      </c>
      <c r="I416" s="114" t="s">
        <v>79</v>
      </c>
      <c r="J416" s="131">
        <f>2.28*16</f>
        <v>36.479999999999997</v>
      </c>
      <c r="K416" s="131">
        <v>41.4</v>
      </c>
      <c r="L416" s="132">
        <f t="shared" ref="L416:L455" si="191">IF(F416=0,"",J416*H416)</f>
        <v>1188.7920000000001</v>
      </c>
      <c r="M416" s="132">
        <f t="shared" ref="M416:M455" si="192">IF(F416=0,"",K416*H416)</f>
        <v>1349.1225000000002</v>
      </c>
      <c r="N416" s="132">
        <f t="shared" ref="N416:N455" si="193">IF(F416=0,"",L416+M416)</f>
        <v>2537.9145000000003</v>
      </c>
      <c r="O416" s="35"/>
      <c r="P416" s="3"/>
    </row>
    <row r="417" spans="1:16" s="4" customFormat="1" x14ac:dyDescent="0.25">
      <c r="A417" s="34">
        <f>IF(I417&lt;&gt;"",1+MAX($A$40:A416),"")</f>
        <v>316</v>
      </c>
      <c r="B417" s="26"/>
      <c r="C417" s="26"/>
      <c r="D417" s="27"/>
      <c r="E417" s="113" t="s">
        <v>275</v>
      </c>
      <c r="F417" s="124">
        <v>179.19548872180451</v>
      </c>
      <c r="G417" s="129">
        <v>0.1</v>
      </c>
      <c r="H417" s="130">
        <f t="shared" ref="H417:H459" si="194">IF(F417=0,"",F417*(1+G417))</f>
        <v>197.11503759398497</v>
      </c>
      <c r="I417" s="114" t="s">
        <v>79</v>
      </c>
      <c r="J417" s="131">
        <f>1.45*0.66</f>
        <v>0.95699999999999996</v>
      </c>
      <c r="K417" s="131">
        <f>1.47*0.66</f>
        <v>0.97020000000000006</v>
      </c>
      <c r="L417" s="132">
        <f t="shared" si="191"/>
        <v>188.6390909774436</v>
      </c>
      <c r="M417" s="132">
        <f t="shared" si="192"/>
        <v>191.24100947368422</v>
      </c>
      <c r="N417" s="132">
        <f t="shared" si="193"/>
        <v>379.88010045112782</v>
      </c>
      <c r="O417" s="35"/>
      <c r="P417" s="3"/>
    </row>
    <row r="418" spans="1:16" s="4" customFormat="1" x14ac:dyDescent="0.25">
      <c r="A418" s="34">
        <f>IF(I418&lt;&gt;"",1+MAX($A$40:A417),"")</f>
        <v>317</v>
      </c>
      <c r="B418" s="26"/>
      <c r="C418" s="26"/>
      <c r="D418" s="27"/>
      <c r="E418" s="113" t="s">
        <v>276</v>
      </c>
      <c r="F418" s="124">
        <v>4.9621875000000006</v>
      </c>
      <c r="G418" s="129">
        <v>0.1</v>
      </c>
      <c r="H418" s="130">
        <f t="shared" si="194"/>
        <v>5.4584062500000012</v>
      </c>
      <c r="I418" s="114" t="s">
        <v>82</v>
      </c>
      <c r="J418" s="131">
        <f>0.98*32</f>
        <v>31.36</v>
      </c>
      <c r="K418" s="131">
        <f>2.02*32</f>
        <v>64.64</v>
      </c>
      <c r="L418" s="132">
        <f t="shared" si="191"/>
        <v>171.17562000000004</v>
      </c>
      <c r="M418" s="132">
        <f t="shared" si="192"/>
        <v>352.83138000000008</v>
      </c>
      <c r="N418" s="132">
        <f t="shared" si="193"/>
        <v>524.00700000000006</v>
      </c>
      <c r="O418" s="35"/>
      <c r="P418" s="3"/>
    </row>
    <row r="419" spans="1:16" s="4" customFormat="1" x14ac:dyDescent="0.25">
      <c r="A419" s="34">
        <f>IF(I419&lt;&gt;"",1+MAX($A$40:A418),"")</f>
        <v>318</v>
      </c>
      <c r="B419" s="26"/>
      <c r="C419" s="26"/>
      <c r="D419" s="27"/>
      <c r="E419" s="113" t="s">
        <v>277</v>
      </c>
      <c r="F419" s="124">
        <v>4.9621875000000006</v>
      </c>
      <c r="G419" s="129">
        <v>0.1</v>
      </c>
      <c r="H419" s="130">
        <f t="shared" si="194"/>
        <v>5.4584062500000012</v>
      </c>
      <c r="I419" s="114" t="s">
        <v>82</v>
      </c>
      <c r="J419" s="131">
        <f>2.9*32</f>
        <v>92.8</v>
      </c>
      <c r="K419" s="131">
        <f>1.95*32</f>
        <v>62.4</v>
      </c>
      <c r="L419" s="132">
        <f t="shared" si="191"/>
        <v>506.54010000000011</v>
      </c>
      <c r="M419" s="132">
        <f t="shared" si="192"/>
        <v>340.60455000000007</v>
      </c>
      <c r="N419" s="132">
        <f t="shared" si="193"/>
        <v>847.14465000000018</v>
      </c>
      <c r="O419" s="35"/>
      <c r="P419" s="3"/>
    </row>
    <row r="420" spans="1:16" s="4" customFormat="1" ht="31.5" x14ac:dyDescent="0.25">
      <c r="A420" s="34">
        <f>IF(I420&lt;&gt;"",1+MAX($A$40:A419),"")</f>
        <v>319</v>
      </c>
      <c r="B420" s="26"/>
      <c r="C420" s="26"/>
      <c r="D420" s="27"/>
      <c r="E420" s="115" t="s">
        <v>278</v>
      </c>
      <c r="F420" s="124">
        <v>29.625</v>
      </c>
      <c r="G420" s="129">
        <v>0.1</v>
      </c>
      <c r="H420" s="130">
        <f t="shared" si="194"/>
        <v>32.587500000000006</v>
      </c>
      <c r="I420" s="114" t="s">
        <v>79</v>
      </c>
      <c r="J420" s="131">
        <f>5.12*16</f>
        <v>81.92</v>
      </c>
      <c r="K420" s="131">
        <f>1.9*16</f>
        <v>30.4</v>
      </c>
      <c r="L420" s="132">
        <f t="shared" si="191"/>
        <v>2669.5680000000007</v>
      </c>
      <c r="M420" s="132">
        <f t="shared" si="192"/>
        <v>990.66000000000008</v>
      </c>
      <c r="N420" s="132">
        <f t="shared" si="193"/>
        <v>3660.228000000001</v>
      </c>
      <c r="O420" s="35"/>
      <c r="P420" s="3"/>
    </row>
    <row r="421" spans="1:16" s="4" customFormat="1" x14ac:dyDescent="0.25">
      <c r="A421" s="34" t="str">
        <f>IF(I421&lt;&gt;"",1+MAX($A$40:A420),"")</f>
        <v/>
      </c>
      <c r="B421" s="26"/>
      <c r="C421" s="26"/>
      <c r="D421" s="27"/>
      <c r="E421" s="112" t="s">
        <v>279</v>
      </c>
      <c r="F421" s="124"/>
      <c r="G421" s="129"/>
      <c r="H421" s="130" t="str">
        <f t="shared" si="194"/>
        <v/>
      </c>
      <c r="I421" s="114"/>
      <c r="J421" s="131"/>
      <c r="K421" s="131"/>
      <c r="L421" s="132" t="str">
        <f t="shared" si="191"/>
        <v/>
      </c>
      <c r="M421" s="132" t="str">
        <f t="shared" si="192"/>
        <v/>
      </c>
      <c r="N421" s="132" t="str">
        <f t="shared" si="193"/>
        <v/>
      </c>
      <c r="O421" s="35"/>
      <c r="P421" s="3"/>
    </row>
    <row r="422" spans="1:16" s="4" customFormat="1" x14ac:dyDescent="0.25">
      <c r="A422" s="34">
        <f>IF(I422&lt;&gt;"",1+MAX($A$40:A421),"")</f>
        <v>320</v>
      </c>
      <c r="B422" s="26"/>
      <c r="C422" s="26"/>
      <c r="D422" s="27"/>
      <c r="E422" s="113" t="s">
        <v>258</v>
      </c>
      <c r="F422" s="124">
        <v>2.2599999999999998</v>
      </c>
      <c r="G422" s="129">
        <v>0.1</v>
      </c>
      <c r="H422" s="130">
        <f t="shared" si="194"/>
        <v>2.4859999999999998</v>
      </c>
      <c r="I422" s="114" t="s">
        <v>79</v>
      </c>
      <c r="J422" s="131">
        <f>2.28*16</f>
        <v>36.479999999999997</v>
      </c>
      <c r="K422" s="131">
        <v>41.4</v>
      </c>
      <c r="L422" s="132">
        <f t="shared" si="191"/>
        <v>90.689279999999982</v>
      </c>
      <c r="M422" s="132">
        <f t="shared" si="192"/>
        <v>102.92039999999999</v>
      </c>
      <c r="N422" s="132">
        <f t="shared" si="193"/>
        <v>193.60967999999997</v>
      </c>
      <c r="O422" s="35"/>
      <c r="P422" s="3"/>
    </row>
    <row r="423" spans="1:16" s="4" customFormat="1" x14ac:dyDescent="0.25">
      <c r="A423" s="34">
        <f>IF(I423&lt;&gt;"",1+MAX($A$40:A422),"")</f>
        <v>321</v>
      </c>
      <c r="B423" s="26"/>
      <c r="C423" s="26"/>
      <c r="D423" s="27"/>
      <c r="E423" s="113" t="s">
        <v>280</v>
      </c>
      <c r="F423" s="124">
        <v>14.593984962406013</v>
      </c>
      <c r="G423" s="129">
        <v>0.1</v>
      </c>
      <c r="H423" s="130">
        <f t="shared" si="194"/>
        <v>16.053383458646618</v>
      </c>
      <c r="I423" s="114" t="s">
        <v>79</v>
      </c>
      <c r="J423" s="131">
        <f>1.45*1.83</f>
        <v>2.6535000000000002</v>
      </c>
      <c r="K423" s="131">
        <f>1.47*1.83</f>
        <v>2.6901000000000002</v>
      </c>
      <c r="L423" s="132">
        <f t="shared" si="191"/>
        <v>42.597653007518801</v>
      </c>
      <c r="M423" s="132">
        <f t="shared" si="192"/>
        <v>43.185206842105266</v>
      </c>
      <c r="N423" s="132">
        <f t="shared" si="193"/>
        <v>85.78285984962406</v>
      </c>
      <c r="O423" s="35"/>
      <c r="P423" s="3"/>
    </row>
    <row r="424" spans="1:16" s="4" customFormat="1" x14ac:dyDescent="0.25">
      <c r="A424" s="34">
        <f>IF(I424&lt;&gt;"",1+MAX($A$40:A423),"")</f>
        <v>322</v>
      </c>
      <c r="B424" s="26"/>
      <c r="C424" s="26"/>
      <c r="D424" s="27"/>
      <c r="E424" s="113" t="s">
        <v>281</v>
      </c>
      <c r="F424" s="124">
        <v>1.0226499999999998</v>
      </c>
      <c r="G424" s="129">
        <v>0.1</v>
      </c>
      <c r="H424" s="130">
        <f t="shared" si="194"/>
        <v>1.1249149999999999</v>
      </c>
      <c r="I424" s="114" t="s">
        <v>82</v>
      </c>
      <c r="J424" s="131">
        <f>0.98*32</f>
        <v>31.36</v>
      </c>
      <c r="K424" s="131">
        <f>2.02*32</f>
        <v>64.64</v>
      </c>
      <c r="L424" s="132">
        <f t="shared" si="191"/>
        <v>35.277334399999994</v>
      </c>
      <c r="M424" s="132">
        <f t="shared" si="192"/>
        <v>72.714505599999995</v>
      </c>
      <c r="N424" s="132">
        <f t="shared" si="193"/>
        <v>107.99184</v>
      </c>
      <c r="O424" s="35"/>
      <c r="P424" s="3"/>
    </row>
    <row r="425" spans="1:16" s="4" customFormat="1" x14ac:dyDescent="0.25">
      <c r="A425" s="34">
        <f>IF(I425&lt;&gt;"",1+MAX($A$40:A424),"")</f>
        <v>323</v>
      </c>
      <c r="B425" s="26"/>
      <c r="C425" s="26"/>
      <c r="D425" s="27"/>
      <c r="E425" s="113" t="s">
        <v>282</v>
      </c>
      <c r="F425" s="124">
        <v>1.0226499999999998</v>
      </c>
      <c r="G425" s="129">
        <v>0.1</v>
      </c>
      <c r="H425" s="130">
        <f t="shared" si="194"/>
        <v>1.1249149999999999</v>
      </c>
      <c r="I425" s="114" t="s">
        <v>82</v>
      </c>
      <c r="J425" s="131">
        <f>2.9*32</f>
        <v>92.8</v>
      </c>
      <c r="K425" s="131">
        <f>1.95*32</f>
        <v>62.4</v>
      </c>
      <c r="L425" s="132">
        <f t="shared" si="191"/>
        <v>104.39211199999998</v>
      </c>
      <c r="M425" s="132">
        <f t="shared" si="192"/>
        <v>70.194695999999993</v>
      </c>
      <c r="N425" s="132">
        <f t="shared" si="193"/>
        <v>174.58680799999996</v>
      </c>
      <c r="O425" s="35"/>
      <c r="P425" s="3"/>
    </row>
    <row r="426" spans="1:16" s="4" customFormat="1" ht="31.5" x14ac:dyDescent="0.25">
      <c r="A426" s="34">
        <f>IF(I426&lt;&gt;"",1+MAX($A$40:A425),"")</f>
        <v>324</v>
      </c>
      <c r="B426" s="26"/>
      <c r="C426" s="26"/>
      <c r="D426" s="27"/>
      <c r="E426" s="115" t="s">
        <v>269</v>
      </c>
      <c r="F426" s="124">
        <v>2.2599999999999998</v>
      </c>
      <c r="G426" s="129">
        <v>0.1</v>
      </c>
      <c r="H426" s="130">
        <f t="shared" si="194"/>
        <v>2.4859999999999998</v>
      </c>
      <c r="I426" s="114" t="s">
        <v>79</v>
      </c>
      <c r="J426" s="131">
        <f>6.66*16</f>
        <v>106.56</v>
      </c>
      <c r="K426" s="131">
        <f>2.85*16</f>
        <v>45.6</v>
      </c>
      <c r="L426" s="132">
        <f t="shared" si="191"/>
        <v>264.90815999999995</v>
      </c>
      <c r="M426" s="132">
        <f t="shared" si="192"/>
        <v>113.3616</v>
      </c>
      <c r="N426" s="132">
        <f t="shared" si="193"/>
        <v>378.26975999999996</v>
      </c>
      <c r="O426" s="35"/>
      <c r="P426" s="3"/>
    </row>
    <row r="427" spans="1:16" s="4" customFormat="1" x14ac:dyDescent="0.25">
      <c r="A427" s="34" t="str">
        <f>IF(I427&lt;&gt;"",1+MAX($A$40:A426),"")</f>
        <v/>
      </c>
      <c r="B427" s="26"/>
      <c r="C427" s="26"/>
      <c r="D427" s="27"/>
      <c r="E427" s="112" t="s">
        <v>283</v>
      </c>
      <c r="F427" s="124"/>
      <c r="G427" s="36"/>
      <c r="H427" s="29" t="str">
        <f t="shared" si="194"/>
        <v/>
      </c>
      <c r="I427" s="114"/>
      <c r="J427" s="31"/>
      <c r="K427" s="31"/>
      <c r="L427" s="32" t="str">
        <f t="shared" si="191"/>
        <v/>
      </c>
      <c r="M427" s="32" t="str">
        <f t="shared" si="192"/>
        <v/>
      </c>
      <c r="N427" s="32" t="str">
        <f t="shared" si="193"/>
        <v/>
      </c>
      <c r="O427" s="35"/>
      <c r="P427" s="3"/>
    </row>
    <row r="428" spans="1:16" s="4" customFormat="1" x14ac:dyDescent="0.25">
      <c r="A428" s="34">
        <f>IF(I428&lt;&gt;"",1+MAX($A$40:A427),"")</f>
        <v>325</v>
      </c>
      <c r="B428" s="26"/>
      <c r="C428" s="26"/>
      <c r="D428" s="27"/>
      <c r="E428" s="113" t="s">
        <v>259</v>
      </c>
      <c r="F428" s="124">
        <v>49.872180451127818</v>
      </c>
      <c r="G428" s="36">
        <v>0.1</v>
      </c>
      <c r="H428" s="29">
        <f t="shared" si="194"/>
        <v>54.859398496240601</v>
      </c>
      <c r="I428" s="114" t="s">
        <v>79</v>
      </c>
      <c r="J428" s="31">
        <f>2.28*2</f>
        <v>4.5599999999999996</v>
      </c>
      <c r="K428" s="31">
        <v>3.8</v>
      </c>
      <c r="L428" s="32">
        <f t="shared" si="191"/>
        <v>250.15885714285713</v>
      </c>
      <c r="M428" s="32">
        <f t="shared" si="192"/>
        <v>208.46571428571428</v>
      </c>
      <c r="N428" s="32">
        <f t="shared" si="193"/>
        <v>458.62457142857141</v>
      </c>
      <c r="O428" s="35"/>
      <c r="P428" s="3"/>
    </row>
    <row r="429" spans="1:16" s="4" customFormat="1" x14ac:dyDescent="0.25">
      <c r="A429" s="34">
        <f>IF(I429&lt;&gt;"",1+MAX($A$40:A428),"")</f>
        <v>326</v>
      </c>
      <c r="B429" s="26"/>
      <c r="C429" s="26"/>
      <c r="D429" s="27"/>
      <c r="E429" s="113" t="s">
        <v>284</v>
      </c>
      <c r="F429" s="124">
        <v>49.872180451127818</v>
      </c>
      <c r="G429" s="36">
        <v>0.1</v>
      </c>
      <c r="H429" s="29">
        <f t="shared" si="194"/>
        <v>54.859398496240601</v>
      </c>
      <c r="I429" s="114" t="s">
        <v>79</v>
      </c>
      <c r="J429" s="31">
        <f>1.4*4.5</f>
        <v>6.3</v>
      </c>
      <c r="K429" s="31">
        <f>1.47*4.5</f>
        <v>6.6150000000000002</v>
      </c>
      <c r="L429" s="32">
        <f t="shared" si="191"/>
        <v>345.61421052631579</v>
      </c>
      <c r="M429" s="32">
        <f t="shared" si="192"/>
        <v>362.89492105263162</v>
      </c>
      <c r="N429" s="32">
        <f t="shared" si="193"/>
        <v>708.5091315789474</v>
      </c>
      <c r="O429" s="35"/>
      <c r="P429" s="3"/>
    </row>
    <row r="430" spans="1:16" s="4" customFormat="1" x14ac:dyDescent="0.25">
      <c r="A430" s="34">
        <f>IF(I430&lt;&gt;"",1+MAX($A$40:A429),"")</f>
        <v>327</v>
      </c>
      <c r="B430" s="26"/>
      <c r="C430" s="26"/>
      <c r="D430" s="27"/>
      <c r="E430" s="113" t="s">
        <v>260</v>
      </c>
      <c r="F430" s="124">
        <v>49.872180451127818</v>
      </c>
      <c r="G430" s="36">
        <v>0.1</v>
      </c>
      <c r="H430" s="29">
        <f t="shared" si="194"/>
        <v>54.859398496240601</v>
      </c>
      <c r="I430" s="114" t="s">
        <v>79</v>
      </c>
      <c r="J430" s="31">
        <f>1.4*2.83</f>
        <v>3.9619999999999997</v>
      </c>
      <c r="K430" s="31">
        <f>1.47*2.83</f>
        <v>4.1600999999999999</v>
      </c>
      <c r="L430" s="32">
        <f t="shared" si="191"/>
        <v>217.35293684210524</v>
      </c>
      <c r="M430" s="32">
        <f t="shared" si="192"/>
        <v>228.22058368421051</v>
      </c>
      <c r="N430" s="32">
        <f t="shared" si="193"/>
        <v>445.57352052631575</v>
      </c>
      <c r="O430" s="35"/>
      <c r="P430" s="3"/>
    </row>
    <row r="431" spans="1:16" s="4" customFormat="1" x14ac:dyDescent="0.25">
      <c r="A431" s="34">
        <f>IF(I431&lt;&gt;"",1+MAX($A$40:A430),"")</f>
        <v>328</v>
      </c>
      <c r="B431" s="26"/>
      <c r="C431" s="26"/>
      <c r="D431" s="27"/>
      <c r="E431" s="113" t="s">
        <v>285</v>
      </c>
      <c r="F431" s="124">
        <v>49.872180451127818</v>
      </c>
      <c r="G431" s="36">
        <v>0.1</v>
      </c>
      <c r="H431" s="29">
        <f t="shared" si="194"/>
        <v>54.859398496240601</v>
      </c>
      <c r="I431" s="114" t="s">
        <v>79</v>
      </c>
      <c r="J431" s="31">
        <f>1.4*4</f>
        <v>5.6</v>
      </c>
      <c r="K431" s="31">
        <f>1.47*4</f>
        <v>5.88</v>
      </c>
      <c r="L431" s="32">
        <f t="shared" si="191"/>
        <v>307.21263157894737</v>
      </c>
      <c r="M431" s="32">
        <f t="shared" si="192"/>
        <v>322.5732631578947</v>
      </c>
      <c r="N431" s="32">
        <f t="shared" si="193"/>
        <v>629.78589473684201</v>
      </c>
      <c r="O431" s="35"/>
      <c r="P431" s="3"/>
    </row>
    <row r="432" spans="1:16" s="4" customFormat="1" x14ac:dyDescent="0.25">
      <c r="A432" s="34">
        <f>IF(I432&lt;&gt;"",1+MAX($A$40:A431),"")</f>
        <v>329</v>
      </c>
      <c r="B432" s="26"/>
      <c r="C432" s="26"/>
      <c r="D432" s="27"/>
      <c r="E432" s="113" t="s">
        <v>261</v>
      </c>
      <c r="F432" s="124">
        <v>49.872180451127818</v>
      </c>
      <c r="G432" s="36">
        <v>0.1</v>
      </c>
      <c r="H432" s="29">
        <f t="shared" si="194"/>
        <v>54.859398496240601</v>
      </c>
      <c r="I432" s="114" t="s">
        <v>79</v>
      </c>
      <c r="J432" s="31">
        <f>1.34*1</f>
        <v>1.34</v>
      </c>
      <c r="K432" s="31">
        <f>1.39*1</f>
        <v>1.39</v>
      </c>
      <c r="L432" s="32">
        <f t="shared" si="191"/>
        <v>73.511593984962417</v>
      </c>
      <c r="M432" s="32">
        <f t="shared" si="192"/>
        <v>76.254563909774433</v>
      </c>
      <c r="N432" s="32">
        <f t="shared" si="193"/>
        <v>149.76615789473686</v>
      </c>
      <c r="O432" s="35"/>
      <c r="P432" s="3"/>
    </row>
    <row r="433" spans="1:16" s="4" customFormat="1" x14ac:dyDescent="0.25">
      <c r="A433" s="34">
        <f>IF(I433&lt;&gt;"",1+MAX($A$40:A432),"")</f>
        <v>330</v>
      </c>
      <c r="B433" s="26"/>
      <c r="C433" s="26"/>
      <c r="D433" s="27"/>
      <c r="E433" s="113" t="s">
        <v>286</v>
      </c>
      <c r="F433" s="124">
        <v>49.872180451127818</v>
      </c>
      <c r="G433" s="36">
        <v>0.1</v>
      </c>
      <c r="H433" s="29">
        <f t="shared" si="194"/>
        <v>54.859398496240601</v>
      </c>
      <c r="I433" s="114" t="s">
        <v>79</v>
      </c>
      <c r="J433" s="31">
        <f>6.56*6</f>
        <v>39.36</v>
      </c>
      <c r="K433" s="31">
        <f>2.2*6</f>
        <v>13.200000000000001</v>
      </c>
      <c r="L433" s="32">
        <f t="shared" si="191"/>
        <v>2159.2659248120299</v>
      </c>
      <c r="M433" s="32">
        <f t="shared" si="192"/>
        <v>724.14406015037605</v>
      </c>
      <c r="N433" s="32">
        <f t="shared" si="193"/>
        <v>2883.4099849624058</v>
      </c>
      <c r="O433" s="35"/>
      <c r="P433" s="3"/>
    </row>
    <row r="434" spans="1:16" s="4" customFormat="1" x14ac:dyDescent="0.25">
      <c r="A434" s="34">
        <f>IF(I434&lt;&gt;"",1+MAX($A$40:A433),"")</f>
        <v>331</v>
      </c>
      <c r="B434" s="26"/>
      <c r="C434" s="26"/>
      <c r="D434" s="27"/>
      <c r="E434" s="113" t="s">
        <v>287</v>
      </c>
      <c r="F434" s="124">
        <v>15.0921875</v>
      </c>
      <c r="G434" s="36">
        <v>0.1</v>
      </c>
      <c r="H434" s="29">
        <f t="shared" si="194"/>
        <v>16.60140625</v>
      </c>
      <c r="I434" s="114" t="s">
        <v>82</v>
      </c>
      <c r="J434" s="31">
        <f>0.98*32</f>
        <v>31.36</v>
      </c>
      <c r="K434" s="31">
        <f>2.02*32</f>
        <v>64.64</v>
      </c>
      <c r="L434" s="32">
        <f t="shared" si="191"/>
        <v>520.62009999999998</v>
      </c>
      <c r="M434" s="32">
        <f t="shared" si="192"/>
        <v>1073.1149</v>
      </c>
      <c r="N434" s="32">
        <f t="shared" si="193"/>
        <v>1593.7350000000001</v>
      </c>
      <c r="O434" s="35"/>
      <c r="P434" s="3"/>
    </row>
    <row r="435" spans="1:16" s="4" customFormat="1" x14ac:dyDescent="0.25">
      <c r="A435" s="34">
        <f>IF(I435&lt;&gt;"",1+MAX($A$40:A434),"")</f>
        <v>332</v>
      </c>
      <c r="B435" s="26"/>
      <c r="C435" s="26"/>
      <c r="D435" s="27"/>
      <c r="E435" s="113" t="s">
        <v>288</v>
      </c>
      <c r="F435" s="124">
        <v>22.120312500000001</v>
      </c>
      <c r="G435" s="36">
        <v>0.1</v>
      </c>
      <c r="H435" s="29">
        <f t="shared" si="194"/>
        <v>24.332343750000003</v>
      </c>
      <c r="I435" s="114" t="s">
        <v>82</v>
      </c>
      <c r="J435" s="31">
        <f>2.9*32</f>
        <v>92.8</v>
      </c>
      <c r="K435" s="31">
        <f>1.95*32</f>
        <v>62.4</v>
      </c>
      <c r="L435" s="32">
        <f t="shared" si="191"/>
        <v>2258.0415000000003</v>
      </c>
      <c r="M435" s="32">
        <f t="shared" si="192"/>
        <v>1518.3382500000002</v>
      </c>
      <c r="N435" s="32">
        <f t="shared" si="193"/>
        <v>3776.3797500000005</v>
      </c>
      <c r="O435" s="35"/>
      <c r="P435" s="3"/>
    </row>
    <row r="436" spans="1:16" s="4" customFormat="1" x14ac:dyDescent="0.25">
      <c r="A436" s="34" t="str">
        <f>IF(I436&lt;&gt;"",1+MAX($A$40:A435),"")</f>
        <v/>
      </c>
      <c r="B436" s="26"/>
      <c r="C436" s="26"/>
      <c r="D436" s="27"/>
      <c r="E436" s="112" t="s">
        <v>289</v>
      </c>
      <c r="F436" s="124"/>
      <c r="G436" s="36"/>
      <c r="H436" s="29" t="str">
        <f t="shared" si="194"/>
        <v/>
      </c>
      <c r="I436" s="114"/>
      <c r="J436" s="31"/>
      <c r="K436" s="31"/>
      <c r="L436" s="32" t="str">
        <f t="shared" si="191"/>
        <v/>
      </c>
      <c r="M436" s="32" t="str">
        <f t="shared" si="192"/>
        <v/>
      </c>
      <c r="N436" s="32" t="str">
        <f t="shared" si="193"/>
        <v/>
      </c>
      <c r="O436" s="35"/>
      <c r="P436" s="3"/>
    </row>
    <row r="437" spans="1:16" s="4" customFormat="1" x14ac:dyDescent="0.25">
      <c r="A437" s="34">
        <f>IF(I437&lt;&gt;"",1+MAX($A$40:A436),"")</f>
        <v>333</v>
      </c>
      <c r="B437" s="26"/>
      <c r="C437" s="26"/>
      <c r="D437" s="27"/>
      <c r="E437" s="113" t="s">
        <v>258</v>
      </c>
      <c r="F437" s="124">
        <v>10.78875</v>
      </c>
      <c r="G437" s="36">
        <v>0.1</v>
      </c>
      <c r="H437" s="29">
        <f t="shared" si="194"/>
        <v>11.867625000000002</v>
      </c>
      <c r="I437" s="114" t="s">
        <v>79</v>
      </c>
      <c r="J437" s="31">
        <f>2.28*16</f>
        <v>36.479999999999997</v>
      </c>
      <c r="K437" s="31">
        <v>41.4</v>
      </c>
      <c r="L437" s="32">
        <f t="shared" si="191"/>
        <v>432.93096000000003</v>
      </c>
      <c r="M437" s="32">
        <f t="shared" si="192"/>
        <v>491.31967500000007</v>
      </c>
      <c r="N437" s="32">
        <f t="shared" si="193"/>
        <v>924.2506350000001</v>
      </c>
      <c r="O437" s="35"/>
      <c r="P437" s="3"/>
    </row>
    <row r="438" spans="1:16" s="4" customFormat="1" x14ac:dyDescent="0.25">
      <c r="A438" s="34">
        <f>IF(I438&lt;&gt;"",1+MAX($A$40:A437),"")</f>
        <v>334</v>
      </c>
      <c r="B438" s="26"/>
      <c r="C438" s="26"/>
      <c r="D438" s="27"/>
      <c r="E438" s="113" t="s">
        <v>290</v>
      </c>
      <c r="F438" s="124">
        <v>65.89473684210526</v>
      </c>
      <c r="G438" s="36">
        <v>0.1</v>
      </c>
      <c r="H438" s="29">
        <f t="shared" si="194"/>
        <v>72.484210526315792</v>
      </c>
      <c r="I438" s="114" t="s">
        <v>79</v>
      </c>
      <c r="J438" s="31">
        <f>0.98*32</f>
        <v>31.36</v>
      </c>
      <c r="K438" s="31">
        <f>2.02*32</f>
        <v>64.64</v>
      </c>
      <c r="L438" s="32">
        <f t="shared" si="191"/>
        <v>2273.1048421052633</v>
      </c>
      <c r="M438" s="32">
        <f t="shared" si="192"/>
        <v>4685.3793684210532</v>
      </c>
      <c r="N438" s="32">
        <f t="shared" si="193"/>
        <v>6958.484210526316</v>
      </c>
      <c r="O438" s="35"/>
      <c r="P438" s="3"/>
    </row>
    <row r="439" spans="1:16" s="4" customFormat="1" x14ac:dyDescent="0.25">
      <c r="A439" s="34">
        <f>IF(I439&lt;&gt;"",1+MAX($A$40:A438),"")</f>
        <v>335</v>
      </c>
      <c r="B439" s="26"/>
      <c r="C439" s="26"/>
      <c r="D439" s="27"/>
      <c r="E439" s="113" t="s">
        <v>291</v>
      </c>
      <c r="F439" s="124">
        <v>5.3943750000000001</v>
      </c>
      <c r="G439" s="36">
        <v>0.1</v>
      </c>
      <c r="H439" s="29">
        <f t="shared" si="194"/>
        <v>5.933812500000001</v>
      </c>
      <c r="I439" s="114" t="s">
        <v>82</v>
      </c>
      <c r="J439" s="31">
        <f>0.98*32</f>
        <v>31.36</v>
      </c>
      <c r="K439" s="31">
        <f>2.02*32</f>
        <v>64.64</v>
      </c>
      <c r="L439" s="32">
        <f t="shared" si="191"/>
        <v>186.08436000000003</v>
      </c>
      <c r="M439" s="32">
        <f t="shared" si="192"/>
        <v>383.56164000000007</v>
      </c>
      <c r="N439" s="32">
        <f t="shared" si="193"/>
        <v>569.64600000000007</v>
      </c>
      <c r="O439" s="35"/>
      <c r="P439" s="3"/>
    </row>
    <row r="440" spans="1:16" s="4" customFormat="1" x14ac:dyDescent="0.25">
      <c r="A440" s="34">
        <f>IF(I440&lt;&gt;"",1+MAX($A$40:A439),"")</f>
        <v>336</v>
      </c>
      <c r="B440" s="26"/>
      <c r="C440" s="26"/>
      <c r="D440" s="27"/>
      <c r="E440" s="113" t="s">
        <v>292</v>
      </c>
      <c r="F440" s="124">
        <v>5.3943750000000001</v>
      </c>
      <c r="G440" s="36">
        <v>0.1</v>
      </c>
      <c r="H440" s="29">
        <f t="shared" si="194"/>
        <v>5.933812500000001</v>
      </c>
      <c r="I440" s="114" t="s">
        <v>82</v>
      </c>
      <c r="J440" s="31">
        <f>2.9*32</f>
        <v>92.8</v>
      </c>
      <c r="K440" s="31">
        <f>1.95*32</f>
        <v>62.4</v>
      </c>
      <c r="L440" s="32">
        <f t="shared" si="191"/>
        <v>550.65780000000007</v>
      </c>
      <c r="M440" s="32">
        <f t="shared" si="192"/>
        <v>370.26990000000006</v>
      </c>
      <c r="N440" s="32">
        <f t="shared" si="193"/>
        <v>920.92770000000019</v>
      </c>
      <c r="O440" s="35"/>
      <c r="P440" s="3"/>
    </row>
    <row r="441" spans="1:16" s="4" customFormat="1" ht="31.5" x14ac:dyDescent="0.25">
      <c r="A441" s="34">
        <f>IF(I441&lt;&gt;"",1+MAX($A$40:A440),"")</f>
        <v>337</v>
      </c>
      <c r="B441" s="26"/>
      <c r="C441" s="26"/>
      <c r="D441" s="27"/>
      <c r="E441" s="115" t="s">
        <v>269</v>
      </c>
      <c r="F441" s="124">
        <v>10.78875</v>
      </c>
      <c r="G441" s="36">
        <v>0.1</v>
      </c>
      <c r="H441" s="29">
        <f t="shared" si="194"/>
        <v>11.867625000000002</v>
      </c>
      <c r="I441" s="114" t="s">
        <v>79</v>
      </c>
      <c r="J441" s="31">
        <f>6.66*16</f>
        <v>106.56</v>
      </c>
      <c r="K441" s="31">
        <f>2.85*16</f>
        <v>45.6</v>
      </c>
      <c r="L441" s="32">
        <f t="shared" si="191"/>
        <v>1264.6141200000002</v>
      </c>
      <c r="M441" s="32">
        <f t="shared" si="192"/>
        <v>541.16370000000006</v>
      </c>
      <c r="N441" s="32">
        <f t="shared" si="193"/>
        <v>1805.7778200000002</v>
      </c>
      <c r="O441" s="35"/>
      <c r="P441" s="3"/>
    </row>
    <row r="442" spans="1:16" s="4" customFormat="1" x14ac:dyDescent="0.25">
      <c r="A442" s="34" t="str">
        <f>IF(I442&lt;&gt;"",1+MAX($A$40:A441),"")</f>
        <v/>
      </c>
      <c r="B442" s="26"/>
      <c r="C442" s="26"/>
      <c r="D442" s="27"/>
      <c r="E442" s="112" t="s">
        <v>293</v>
      </c>
      <c r="F442" s="124"/>
      <c r="G442" s="36"/>
      <c r="H442" s="29" t="str">
        <f t="shared" si="194"/>
        <v/>
      </c>
      <c r="I442" s="114"/>
      <c r="J442" s="31"/>
      <c r="K442" s="31"/>
      <c r="L442" s="32" t="str">
        <f t="shared" si="191"/>
        <v/>
      </c>
      <c r="M442" s="32" t="str">
        <f t="shared" si="192"/>
        <v/>
      </c>
      <c r="N442" s="32" t="str">
        <f t="shared" si="193"/>
        <v/>
      </c>
      <c r="O442" s="35"/>
      <c r="P442" s="3"/>
    </row>
    <row r="443" spans="1:16" s="4" customFormat="1" x14ac:dyDescent="0.25">
      <c r="A443" s="34">
        <f>IF(I443&lt;&gt;"",1+MAX($A$40:A442),"")</f>
        <v>338</v>
      </c>
      <c r="B443" s="26"/>
      <c r="C443" s="26"/>
      <c r="D443" s="27"/>
      <c r="E443" s="113" t="s">
        <v>259</v>
      </c>
      <c r="F443" s="124">
        <v>23.112781954887218</v>
      </c>
      <c r="G443" s="36">
        <v>0.1</v>
      </c>
      <c r="H443" s="29">
        <f t="shared" si="194"/>
        <v>25.424060150375944</v>
      </c>
      <c r="I443" s="114" t="s">
        <v>79</v>
      </c>
      <c r="J443" s="31">
        <f>2.28*2</f>
        <v>4.5599999999999996</v>
      </c>
      <c r="K443" s="31">
        <v>3.8</v>
      </c>
      <c r="L443" s="32">
        <f t="shared" si="191"/>
        <v>115.93371428571429</v>
      </c>
      <c r="M443" s="32">
        <f t="shared" si="192"/>
        <v>96.611428571428576</v>
      </c>
      <c r="N443" s="32">
        <f t="shared" si="193"/>
        <v>212.54514285714288</v>
      </c>
      <c r="O443" s="35"/>
      <c r="P443" s="3"/>
    </row>
    <row r="444" spans="1:16" s="4" customFormat="1" x14ac:dyDescent="0.25">
      <c r="A444" s="34">
        <f>IF(I444&lt;&gt;"",1+MAX($A$40:A443),"")</f>
        <v>339</v>
      </c>
      <c r="B444" s="26"/>
      <c r="C444" s="26"/>
      <c r="D444" s="27"/>
      <c r="E444" s="113" t="s">
        <v>294</v>
      </c>
      <c r="F444" s="124">
        <v>23.112781954887218</v>
      </c>
      <c r="G444" s="36">
        <v>0.1</v>
      </c>
      <c r="H444" s="29">
        <f t="shared" si="194"/>
        <v>25.424060150375944</v>
      </c>
      <c r="I444" s="114" t="s">
        <v>79</v>
      </c>
      <c r="J444" s="31">
        <f>1.4*2.66</f>
        <v>3.7239999999999998</v>
      </c>
      <c r="K444" s="31">
        <f>1.47*2.66</f>
        <v>3.9102000000000001</v>
      </c>
      <c r="L444" s="32">
        <f t="shared" si="191"/>
        <v>94.679200000000009</v>
      </c>
      <c r="M444" s="32">
        <f t="shared" si="192"/>
        <v>99.413160000000019</v>
      </c>
      <c r="N444" s="32">
        <f t="shared" si="193"/>
        <v>194.09236000000004</v>
      </c>
      <c r="O444" s="35"/>
      <c r="P444" s="3"/>
    </row>
    <row r="445" spans="1:16" s="4" customFormat="1" x14ac:dyDescent="0.25">
      <c r="A445" s="34">
        <f>IF(I445&lt;&gt;"",1+MAX($A$40:A444),"")</f>
        <v>340</v>
      </c>
      <c r="B445" s="26"/>
      <c r="C445" s="26"/>
      <c r="D445" s="27"/>
      <c r="E445" s="113" t="s">
        <v>260</v>
      </c>
      <c r="F445" s="124">
        <v>23.112781954887218</v>
      </c>
      <c r="G445" s="36">
        <v>0.1</v>
      </c>
      <c r="H445" s="29">
        <f t="shared" si="194"/>
        <v>25.424060150375944</v>
      </c>
      <c r="I445" s="114" t="s">
        <v>79</v>
      </c>
      <c r="J445" s="31">
        <f>1.4*2.83</f>
        <v>3.9619999999999997</v>
      </c>
      <c r="K445" s="31">
        <f>1.47*2.83</f>
        <v>4.1600999999999999</v>
      </c>
      <c r="L445" s="32">
        <f t="shared" si="191"/>
        <v>100.73012631578948</v>
      </c>
      <c r="M445" s="32">
        <f t="shared" si="192"/>
        <v>105.76663263157896</v>
      </c>
      <c r="N445" s="32">
        <f t="shared" si="193"/>
        <v>206.49675894736845</v>
      </c>
      <c r="O445" s="35"/>
      <c r="P445" s="3"/>
    </row>
    <row r="446" spans="1:16" s="4" customFormat="1" x14ac:dyDescent="0.25">
      <c r="A446" s="34">
        <f>IF(I446&lt;&gt;"",1+MAX($A$40:A445),"")</f>
        <v>341</v>
      </c>
      <c r="B446" s="26"/>
      <c r="C446" s="26"/>
      <c r="D446" s="27"/>
      <c r="E446" s="113" t="s">
        <v>295</v>
      </c>
      <c r="F446" s="124">
        <v>23.112781954887218</v>
      </c>
      <c r="G446" s="36">
        <v>0.1</v>
      </c>
      <c r="H446" s="29">
        <f t="shared" si="194"/>
        <v>25.424060150375944</v>
      </c>
      <c r="I446" s="114" t="s">
        <v>79</v>
      </c>
      <c r="J446" s="31">
        <f>1.34*1.5</f>
        <v>2.0100000000000002</v>
      </c>
      <c r="K446" s="31">
        <f>1.39*1.5</f>
        <v>2.085</v>
      </c>
      <c r="L446" s="32">
        <f t="shared" si="191"/>
        <v>51.102360902255654</v>
      </c>
      <c r="M446" s="32">
        <f t="shared" si="192"/>
        <v>53.009165413533843</v>
      </c>
      <c r="N446" s="32">
        <f t="shared" si="193"/>
        <v>104.11152631578949</v>
      </c>
      <c r="O446" s="35"/>
      <c r="P446" s="3"/>
    </row>
    <row r="447" spans="1:16" s="4" customFormat="1" x14ac:dyDescent="0.25">
      <c r="A447" s="34">
        <f>IF(I447&lt;&gt;"",1+MAX($A$40:A446),"")</f>
        <v>342</v>
      </c>
      <c r="B447" s="26"/>
      <c r="C447" s="26"/>
      <c r="D447" s="27"/>
      <c r="E447" s="113" t="s">
        <v>296</v>
      </c>
      <c r="F447" s="124">
        <v>23.112781954887218</v>
      </c>
      <c r="G447" s="36">
        <v>0.1</v>
      </c>
      <c r="H447" s="29">
        <f t="shared" si="194"/>
        <v>25.424060150375944</v>
      </c>
      <c r="I447" s="114" t="s">
        <v>79</v>
      </c>
      <c r="J447" s="31">
        <f>1.4*2.66</f>
        <v>3.7239999999999998</v>
      </c>
      <c r="K447" s="31">
        <f>1.47*2.66</f>
        <v>3.9102000000000001</v>
      </c>
      <c r="L447" s="32">
        <f t="shared" si="191"/>
        <v>94.679200000000009</v>
      </c>
      <c r="M447" s="32">
        <f t="shared" si="192"/>
        <v>99.413160000000019</v>
      </c>
      <c r="N447" s="32">
        <f t="shared" si="193"/>
        <v>194.09236000000004</v>
      </c>
      <c r="O447" s="35"/>
      <c r="P447" s="3"/>
    </row>
    <row r="448" spans="1:16" s="4" customFormat="1" x14ac:dyDescent="0.25">
      <c r="A448" s="34">
        <f>IF(I448&lt;&gt;"",1+MAX($A$40:A447),"")</f>
        <v>343</v>
      </c>
      <c r="B448" s="26"/>
      <c r="C448" s="26"/>
      <c r="D448" s="27"/>
      <c r="E448" s="113" t="s">
        <v>297</v>
      </c>
      <c r="F448" s="124">
        <v>3.5751531249999999</v>
      </c>
      <c r="G448" s="36">
        <v>0.1</v>
      </c>
      <c r="H448" s="29">
        <f t="shared" si="194"/>
        <v>3.9326684375000003</v>
      </c>
      <c r="I448" s="114" t="s">
        <v>82</v>
      </c>
      <c r="J448" s="31">
        <f>0.98*32</f>
        <v>31.36</v>
      </c>
      <c r="K448" s="31">
        <f>2.02*32</f>
        <v>64.64</v>
      </c>
      <c r="L448" s="32">
        <f t="shared" si="191"/>
        <v>123.32848220000001</v>
      </c>
      <c r="M448" s="32">
        <f t="shared" si="192"/>
        <v>254.20768780000003</v>
      </c>
      <c r="N448" s="32">
        <f t="shared" si="193"/>
        <v>377.53617000000003</v>
      </c>
      <c r="O448" s="35"/>
      <c r="P448" s="3"/>
    </row>
    <row r="449" spans="1:23" s="4" customFormat="1" x14ac:dyDescent="0.25">
      <c r="A449" s="34">
        <f>IF(I449&lt;&gt;"",1+MAX($A$40:A448),"")</f>
        <v>344</v>
      </c>
      <c r="B449" s="26"/>
      <c r="C449" s="26"/>
      <c r="D449" s="27"/>
      <c r="E449" s="113" t="s">
        <v>298</v>
      </c>
      <c r="F449" s="124">
        <v>4.190925</v>
      </c>
      <c r="G449" s="36">
        <v>0.1</v>
      </c>
      <c r="H449" s="29">
        <f t="shared" si="194"/>
        <v>4.6100175000000005</v>
      </c>
      <c r="I449" s="114" t="s">
        <v>82</v>
      </c>
      <c r="J449" s="31">
        <f>2.9*32</f>
        <v>92.8</v>
      </c>
      <c r="K449" s="31">
        <f>1.95*32</f>
        <v>62.4</v>
      </c>
      <c r="L449" s="32">
        <f t="shared" si="191"/>
        <v>427.80962400000004</v>
      </c>
      <c r="M449" s="32">
        <f t="shared" si="192"/>
        <v>287.66509200000002</v>
      </c>
      <c r="N449" s="32">
        <f t="shared" si="193"/>
        <v>715.47471600000006</v>
      </c>
      <c r="O449" s="35"/>
      <c r="P449" s="3"/>
    </row>
    <row r="450" spans="1:23" s="4" customFormat="1" x14ac:dyDescent="0.25">
      <c r="A450" s="34" t="str">
        <f>IF(I450&lt;&gt;"",1+MAX($A$40:A449),"")</f>
        <v/>
      </c>
      <c r="B450" s="26"/>
      <c r="C450" s="26"/>
      <c r="D450" s="27"/>
      <c r="E450" s="112" t="s">
        <v>299</v>
      </c>
      <c r="F450" s="124"/>
      <c r="G450" s="36"/>
      <c r="H450" s="29" t="str">
        <f t="shared" si="194"/>
        <v/>
      </c>
      <c r="I450" s="114"/>
      <c r="J450" s="31"/>
      <c r="K450" s="31"/>
      <c r="L450" s="32" t="str">
        <f t="shared" si="191"/>
        <v/>
      </c>
      <c r="M450" s="32" t="str">
        <f t="shared" si="192"/>
        <v/>
      </c>
      <c r="N450" s="32" t="str">
        <f t="shared" si="193"/>
        <v/>
      </c>
      <c r="O450" s="35"/>
      <c r="P450" s="3"/>
    </row>
    <row r="451" spans="1:23" s="4" customFormat="1" x14ac:dyDescent="0.25">
      <c r="A451" s="34">
        <f>IF(I451&lt;&gt;"",1+MAX($A$40:A450),"")</f>
        <v>345</v>
      </c>
      <c r="B451" s="26"/>
      <c r="C451" s="26"/>
      <c r="D451" s="27"/>
      <c r="E451" s="113" t="s">
        <v>258</v>
      </c>
      <c r="F451" s="124">
        <v>3.8562500000000002</v>
      </c>
      <c r="G451" s="36">
        <v>0.1</v>
      </c>
      <c r="H451" s="29">
        <f t="shared" si="194"/>
        <v>4.2418750000000003</v>
      </c>
      <c r="I451" s="114" t="s">
        <v>79</v>
      </c>
      <c r="J451" s="31">
        <f>2.28*16</f>
        <v>36.479999999999997</v>
      </c>
      <c r="K451" s="31">
        <v>41.4</v>
      </c>
      <c r="L451" s="32">
        <f t="shared" si="191"/>
        <v>154.74359999999999</v>
      </c>
      <c r="M451" s="32">
        <f t="shared" si="192"/>
        <v>175.61362500000001</v>
      </c>
      <c r="N451" s="32">
        <f t="shared" si="193"/>
        <v>330.35722499999997</v>
      </c>
      <c r="O451" s="35"/>
      <c r="P451" s="3"/>
    </row>
    <row r="452" spans="1:23" s="4" customFormat="1" x14ac:dyDescent="0.25">
      <c r="A452" s="34">
        <f>IF(I452&lt;&gt;"",1+MAX($A$40:A451),"")</f>
        <v>346</v>
      </c>
      <c r="B452" s="26"/>
      <c r="C452" s="26"/>
      <c r="D452" s="27"/>
      <c r="E452" s="113" t="s">
        <v>300</v>
      </c>
      <c r="F452" s="124">
        <v>24.195488721804512</v>
      </c>
      <c r="G452" s="36">
        <v>0.1</v>
      </c>
      <c r="H452" s="29">
        <f t="shared" si="194"/>
        <v>26.615037593984965</v>
      </c>
      <c r="I452" s="114" t="s">
        <v>79</v>
      </c>
      <c r="J452" s="31">
        <f>1.4*1.16</f>
        <v>1.6239999999999999</v>
      </c>
      <c r="K452" s="31">
        <f>1.47*1.16</f>
        <v>1.7051999999999998</v>
      </c>
      <c r="L452" s="32">
        <f t="shared" si="191"/>
        <v>43.222821052631581</v>
      </c>
      <c r="M452" s="32">
        <f t="shared" si="192"/>
        <v>45.383962105263159</v>
      </c>
      <c r="N452" s="32">
        <f t="shared" si="193"/>
        <v>88.606783157894739</v>
      </c>
      <c r="O452" s="35"/>
      <c r="P452" s="3"/>
    </row>
    <row r="453" spans="1:23" s="4" customFormat="1" x14ac:dyDescent="0.25">
      <c r="A453" s="34">
        <f>IF(I453&lt;&gt;"",1+MAX($A$40:A452),"")</f>
        <v>347</v>
      </c>
      <c r="B453" s="26"/>
      <c r="C453" s="26"/>
      <c r="D453" s="27"/>
      <c r="E453" s="113" t="s">
        <v>291</v>
      </c>
      <c r="F453" s="124">
        <v>1.1183125</v>
      </c>
      <c r="G453" s="36">
        <v>0.1</v>
      </c>
      <c r="H453" s="29">
        <f t="shared" si="194"/>
        <v>1.2301437500000001</v>
      </c>
      <c r="I453" s="114" t="s">
        <v>82</v>
      </c>
      <c r="J453" s="31">
        <f>0.98*32</f>
        <v>31.36</v>
      </c>
      <c r="K453" s="31">
        <f>2.02*32</f>
        <v>64.64</v>
      </c>
      <c r="L453" s="32">
        <f t="shared" si="191"/>
        <v>38.577308000000002</v>
      </c>
      <c r="M453" s="32">
        <f t="shared" si="192"/>
        <v>79.516492</v>
      </c>
      <c r="N453" s="32">
        <f t="shared" si="193"/>
        <v>118.0938</v>
      </c>
      <c r="O453" s="35"/>
      <c r="P453" s="3"/>
    </row>
    <row r="454" spans="1:23" s="4" customFormat="1" x14ac:dyDescent="0.25">
      <c r="A454" s="34">
        <f>IF(I454&lt;&gt;"",1+MAX($A$40:A453),"")</f>
        <v>348</v>
      </c>
      <c r="B454" s="26"/>
      <c r="C454" s="26"/>
      <c r="D454" s="27"/>
      <c r="E454" s="113" t="s">
        <v>292</v>
      </c>
      <c r="F454" s="124">
        <v>1.1183125</v>
      </c>
      <c r="G454" s="36">
        <v>0.1</v>
      </c>
      <c r="H454" s="29">
        <f t="shared" si="194"/>
        <v>1.2301437500000001</v>
      </c>
      <c r="I454" s="114" t="s">
        <v>82</v>
      </c>
      <c r="J454" s="31">
        <f>2.9*32</f>
        <v>92.8</v>
      </c>
      <c r="K454" s="31">
        <f>1.95*32</f>
        <v>62.4</v>
      </c>
      <c r="L454" s="32">
        <f t="shared" si="191"/>
        <v>114.15734</v>
      </c>
      <c r="M454" s="32">
        <f t="shared" si="192"/>
        <v>76.76097</v>
      </c>
      <c r="N454" s="32">
        <f t="shared" si="193"/>
        <v>190.91831000000002</v>
      </c>
      <c r="O454" s="35"/>
      <c r="P454" s="3"/>
    </row>
    <row r="455" spans="1:23" s="4" customFormat="1" ht="31.5" x14ac:dyDescent="0.25">
      <c r="A455" s="34">
        <f>IF(I455&lt;&gt;"",1+MAX($A$40:A454),"")</f>
        <v>349</v>
      </c>
      <c r="B455" s="26"/>
      <c r="C455" s="26"/>
      <c r="D455" s="27"/>
      <c r="E455" s="115" t="s">
        <v>301</v>
      </c>
      <c r="F455" s="124">
        <v>3.8562500000000002</v>
      </c>
      <c r="G455" s="36">
        <v>0.1</v>
      </c>
      <c r="H455" s="29">
        <f t="shared" si="194"/>
        <v>4.2418750000000003</v>
      </c>
      <c r="I455" s="114" t="s">
        <v>79</v>
      </c>
      <c r="J455" s="31">
        <f>5.12*16</f>
        <v>81.92</v>
      </c>
      <c r="K455" s="31">
        <f>1.9*16</f>
        <v>30.4</v>
      </c>
      <c r="L455" s="32">
        <f t="shared" si="191"/>
        <v>347.49440000000004</v>
      </c>
      <c r="M455" s="32">
        <f t="shared" si="192"/>
        <v>128.953</v>
      </c>
      <c r="N455" s="32">
        <f t="shared" si="193"/>
        <v>476.44740000000002</v>
      </c>
      <c r="O455" s="35"/>
      <c r="P455" s="3"/>
    </row>
    <row r="456" spans="1:23" s="4" customFormat="1" x14ac:dyDescent="0.2">
      <c r="A456" s="34" t="str">
        <f>IF(I456&lt;&gt;"",1+MAX($A$40:A455),"")</f>
        <v/>
      </c>
      <c r="B456" s="26"/>
      <c r="C456" s="26"/>
      <c r="D456" s="27"/>
      <c r="E456" s="95" t="s">
        <v>302</v>
      </c>
      <c r="F456" s="29"/>
      <c r="G456" s="36"/>
      <c r="H456" s="29" t="str">
        <f t="shared" si="194"/>
        <v/>
      </c>
      <c r="I456" s="30"/>
      <c r="J456" s="31"/>
      <c r="K456" s="31"/>
      <c r="L456" s="32" t="str">
        <f t="shared" ref="L456:L459" si="195">IF(F456=0,"",J456*H456)</f>
        <v/>
      </c>
      <c r="M456" s="32" t="str">
        <f t="shared" ref="M456:M459" si="196">IF(F456=0,"",K456*H456)</f>
        <v/>
      </c>
      <c r="N456" s="32" t="str">
        <f t="shared" ref="N456:N459" si="197">IF(F456=0,"",L456+M456)</f>
        <v/>
      </c>
      <c r="O456" s="35"/>
      <c r="P456" s="3"/>
    </row>
    <row r="457" spans="1:23" s="4" customFormat="1" x14ac:dyDescent="0.2">
      <c r="A457" s="34">
        <f>IF(I457&lt;&gt;"",1+MAX($A$40:A456),"")</f>
        <v>350</v>
      </c>
      <c r="B457" s="26"/>
      <c r="C457" s="26"/>
      <c r="D457" s="27"/>
      <c r="E457" s="33" t="s">
        <v>303</v>
      </c>
      <c r="F457" s="29">
        <v>52997</v>
      </c>
      <c r="G457" s="36">
        <v>0.1</v>
      </c>
      <c r="H457" s="29">
        <f t="shared" si="194"/>
        <v>58296.700000000004</v>
      </c>
      <c r="I457" s="30" t="s">
        <v>80</v>
      </c>
      <c r="J457" s="31">
        <v>0.28000000000000003</v>
      </c>
      <c r="K457" s="31">
        <v>0.88549999999999995</v>
      </c>
      <c r="L457" s="32">
        <f t="shared" si="195"/>
        <v>16323.076000000003</v>
      </c>
      <c r="M457" s="32">
        <f t="shared" si="196"/>
        <v>51621.727850000003</v>
      </c>
      <c r="N457" s="32">
        <f t="shared" si="197"/>
        <v>67944.803850000011</v>
      </c>
      <c r="O457" s="35"/>
      <c r="P457" s="3"/>
    </row>
    <row r="458" spans="1:23" s="4" customFormat="1" x14ac:dyDescent="0.2">
      <c r="A458" s="34">
        <f>IF(I458&lt;&gt;"",1+MAX($A$40:A457),"")</f>
        <v>351</v>
      </c>
      <c r="B458" s="26"/>
      <c r="C458" s="26"/>
      <c r="D458" s="27"/>
      <c r="E458" s="33" t="s">
        <v>304</v>
      </c>
      <c r="F458" s="29">
        <v>5950.9400000000005</v>
      </c>
      <c r="G458" s="36">
        <v>0.1</v>
      </c>
      <c r="H458" s="29">
        <f t="shared" si="194"/>
        <v>6546.0340000000015</v>
      </c>
      <c r="I458" s="30" t="s">
        <v>306</v>
      </c>
      <c r="J458" s="31">
        <v>4.12</v>
      </c>
      <c r="K458" s="31">
        <v>1.7249999999999999</v>
      </c>
      <c r="L458" s="32">
        <f t="shared" si="195"/>
        <v>26969.660080000005</v>
      </c>
      <c r="M458" s="32">
        <f t="shared" si="196"/>
        <v>11291.908650000001</v>
      </c>
      <c r="N458" s="32">
        <f t="shared" si="197"/>
        <v>38261.568730000006</v>
      </c>
      <c r="O458" s="35"/>
      <c r="P458" s="3"/>
    </row>
    <row r="459" spans="1:23" s="4" customFormat="1" x14ac:dyDescent="0.2">
      <c r="A459" s="34">
        <f>IF(I459&lt;&gt;"",1+MAX($A$40:A458),"")</f>
        <v>352</v>
      </c>
      <c r="B459" s="26"/>
      <c r="C459" s="26"/>
      <c r="D459" s="27"/>
      <c r="E459" s="33" t="s">
        <v>305</v>
      </c>
      <c r="F459" s="29">
        <v>131405</v>
      </c>
      <c r="G459" s="36">
        <v>0.1</v>
      </c>
      <c r="H459" s="29">
        <f t="shared" si="194"/>
        <v>144545.5</v>
      </c>
      <c r="I459" s="30" t="s">
        <v>79</v>
      </c>
      <c r="J459" s="31">
        <v>0.22</v>
      </c>
      <c r="K459" s="31">
        <v>6.8999999999999992E-2</v>
      </c>
      <c r="L459" s="32">
        <f t="shared" si="195"/>
        <v>31800.01</v>
      </c>
      <c r="M459" s="32">
        <f t="shared" si="196"/>
        <v>9973.6394999999993</v>
      </c>
      <c r="N459" s="32">
        <f t="shared" si="197"/>
        <v>41773.6495</v>
      </c>
      <c r="O459" s="35"/>
      <c r="P459" s="3"/>
    </row>
    <row r="460" spans="1:23" ht="16.5" thickBot="1" x14ac:dyDescent="0.25">
      <c r="A460" s="144" t="s">
        <v>5</v>
      </c>
      <c r="B460" s="145"/>
      <c r="C460" s="76"/>
      <c r="D460" s="77"/>
      <c r="E460" s="78"/>
      <c r="F460" s="125"/>
      <c r="G460" s="80"/>
      <c r="H460" s="79"/>
      <c r="I460" s="76"/>
      <c r="J460" s="81"/>
      <c r="K460" s="81"/>
      <c r="L460" s="81"/>
      <c r="M460" s="81"/>
      <c r="N460" s="82">
        <f>SUM(N40:N459)</f>
        <v>1580207.570656864</v>
      </c>
      <c r="O460" s="82">
        <f>SUM(O40:O459)</f>
        <v>1580207.5706568635</v>
      </c>
      <c r="P460" s="2"/>
      <c r="Q460" s="2"/>
      <c r="R460" s="2"/>
      <c r="S460" s="2"/>
      <c r="T460" s="2"/>
      <c r="U460" s="2"/>
      <c r="V460" s="2"/>
      <c r="W460" s="2"/>
    </row>
    <row r="461" spans="1:23" ht="17.25" thickTop="1" thickBot="1" x14ac:dyDescent="0.25">
      <c r="A461" s="158" t="s">
        <v>8</v>
      </c>
      <c r="B461" s="159"/>
      <c r="C461" s="83"/>
      <c r="D461" s="84"/>
      <c r="E461" s="85"/>
      <c r="F461" s="126"/>
      <c r="G461" s="87"/>
      <c r="H461" s="86"/>
      <c r="I461" s="83"/>
      <c r="J461" s="88">
        <v>0</v>
      </c>
      <c r="K461" s="88"/>
      <c r="L461" s="88"/>
      <c r="M461" s="88"/>
      <c r="N461" s="89">
        <f>N460*J461</f>
        <v>0</v>
      </c>
      <c r="O461" s="90">
        <f>O460*J461</f>
        <v>0</v>
      </c>
      <c r="P461" s="2"/>
      <c r="Q461" s="2"/>
      <c r="R461" s="2"/>
      <c r="S461" s="2"/>
      <c r="T461" s="2"/>
      <c r="U461" s="2"/>
      <c r="V461" s="2"/>
      <c r="W461" s="2"/>
    </row>
    <row r="462" spans="1:23" ht="17.25" thickTop="1" thickBot="1" x14ac:dyDescent="0.25">
      <c r="A462" s="91" t="s">
        <v>7</v>
      </c>
      <c r="B462" s="92"/>
      <c r="C462" s="93"/>
      <c r="D462" s="84"/>
      <c r="E462" s="85"/>
      <c r="F462" s="126"/>
      <c r="G462" s="87"/>
      <c r="H462" s="86"/>
      <c r="I462" s="83"/>
      <c r="J462" s="88">
        <v>0.2</v>
      </c>
      <c r="K462" s="88"/>
      <c r="L462" s="88"/>
      <c r="M462" s="88"/>
      <c r="N462" s="89">
        <f>N460*J462</f>
        <v>316041.51413137279</v>
      </c>
      <c r="O462" s="90">
        <f>O460*J462</f>
        <v>316041.51413137274</v>
      </c>
      <c r="P462" s="2"/>
      <c r="Q462" s="2"/>
      <c r="R462" s="2"/>
      <c r="S462" s="2"/>
      <c r="T462" s="2"/>
      <c r="U462" s="2"/>
      <c r="V462" s="2"/>
      <c r="W462" s="2"/>
    </row>
    <row r="463" spans="1:23" ht="17.25" thickTop="1" thickBot="1" x14ac:dyDescent="0.25">
      <c r="A463" s="158" t="s">
        <v>6</v>
      </c>
      <c r="B463" s="159"/>
      <c r="C463" s="83"/>
      <c r="D463" s="84"/>
      <c r="E463" s="85"/>
      <c r="F463" s="126"/>
      <c r="G463" s="87"/>
      <c r="H463" s="86"/>
      <c r="I463" s="83"/>
      <c r="J463" s="94"/>
      <c r="K463" s="94"/>
      <c r="L463" s="94"/>
      <c r="M463" s="94"/>
      <c r="N463" s="89">
        <f>SUM(N460:N462)</f>
        <v>1896249.0847882368</v>
      </c>
      <c r="O463" s="90">
        <f>SUM(O460:O462)</f>
        <v>1896249.0847882363</v>
      </c>
    </row>
    <row r="464" spans="1:23" ht="16.5" thickTop="1" x14ac:dyDescent="0.2"/>
  </sheetData>
  <sortState xmlns:xlrd2="http://schemas.microsoft.com/office/spreadsheetml/2017/richdata2" ref="E871:L887">
    <sortCondition ref="E871"/>
  </sortState>
  <mergeCells count="37">
    <mergeCell ref="N29:O29"/>
    <mergeCell ref="N31:O31"/>
    <mergeCell ref="N24:O24"/>
    <mergeCell ref="N25:O25"/>
    <mergeCell ref="N26:O26"/>
    <mergeCell ref="N27:O27"/>
    <mergeCell ref="N28:O28"/>
    <mergeCell ref="N30:O30"/>
    <mergeCell ref="N18:O18"/>
    <mergeCell ref="N20:O20"/>
    <mergeCell ref="N21:O21"/>
    <mergeCell ref="N22:O22"/>
    <mergeCell ref="N23:O23"/>
    <mergeCell ref="A463:B463"/>
    <mergeCell ref="G34:I34"/>
    <mergeCell ref="N33:O33"/>
    <mergeCell ref="N34:O34"/>
    <mergeCell ref="N35:O35"/>
    <mergeCell ref="H33:I33"/>
    <mergeCell ref="H35:I35"/>
    <mergeCell ref="A461:B461"/>
    <mergeCell ref="F5:G5"/>
    <mergeCell ref="F4:G4"/>
    <mergeCell ref="F6:G6"/>
    <mergeCell ref="A1:O1"/>
    <mergeCell ref="A460:B460"/>
    <mergeCell ref="A8:O9"/>
    <mergeCell ref="A37:O38"/>
    <mergeCell ref="N32:O32"/>
    <mergeCell ref="N19:O19"/>
    <mergeCell ref="N11:O11"/>
    <mergeCell ref="N12:O12"/>
    <mergeCell ref="N13:O13"/>
    <mergeCell ref="N14:O14"/>
    <mergeCell ref="N15:O15"/>
    <mergeCell ref="N16:O16"/>
    <mergeCell ref="N17:O17"/>
  </mergeCells>
  <printOptions horizontalCentered="1"/>
  <pageMargins left="0.43307086614173201" right="0.43307086614173201" top="0.39370078740157499" bottom="0.39370078740157499" header="0.196850393700787" footer="0.196850393700787"/>
  <pageSetup paperSize="9" scale="41" orientation="portrait" r:id="rId1"/>
  <headerFooter>
    <oddFooter>&amp;C&amp;P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3BFB4E81-0D36-4D43-928E-2D68A65A5C85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DETAIL</vt:lpstr>
      <vt:lpstr>DETAIL!Print_Area</vt:lpstr>
      <vt:lpstr>DETAIL!Print_Titles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2013-07-08T09:36:48Z</dcterms:created>
  <dcterms:modified xsi:type="dcterms:W3CDTF">2026-06-09T17:31:10Z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{3BFB4E81-0D36-4D43-928E-2D68A65A5C85}</vt:lpwstr>
  </property>
</Properties>
</file>